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Summary" sheetId="2" state="visible" r:id="rId4"/>
    <sheet name="Underwriting" sheetId="3" state="visible" r:id="rId5"/>
    <sheet name="Vendor Cost Comparison" sheetId="4" state="visible" r:id="rId6"/>
    <sheet name="Disruption Analysis" sheetId="5" state="visible" r:id="rId7"/>
    <sheet name="Claims Detail" sheetId="6" state="visible" r:id="rId8"/>
    <sheet name="Claims Experience" sheetId="7" state="visible" r:id="rId9"/>
    <sheet name="Network Disruption" sheetId="8" state="visible" r:id="rId10"/>
  </sheets>
  <definedNames>
    <definedName function="false" hidden="true" localSheetId="5" name="_xlnm._FilterDatabase" vbProcedure="false">'Claims Detail'!$A$2:$X$50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<sst xmlns="http://schemas.openxmlformats.org/spreadsheetml/2006/main" count="785" uniqueCount="315">
  <si>
    <t xml:space="preserve">Medical Claims RFP Repricing Analysis</t>
  </si>
  <si>
    <t xml:space="preserve">Illustrative Vendor Comparison — Sample / Demonstration Workbook</t>
  </si>
  <si>
    <t xml:space="preserve">DISCLAIMER: This workbook is for illustrative purposes only and does not reflect any actual client or vendor data. All member IDs, claim IDs, provider names, dates of service, dollar amounts, vendor names, and underwriting assumptions are fictitious sample data generated for demonstration purposes. This is a template, not real member/PHI data, and is not a quote or proposal from any actual vendor, carrier, or consulting firm.</t>
  </si>
  <si>
    <t xml:space="preserve">Client:</t>
  </si>
  <si>
    <t xml:space="preserve">Sample Client, Inc. (Illustrative)</t>
  </si>
  <si>
    <t xml:space="preserve">Prepared By:</t>
  </si>
  <si>
    <t xml:space="preserve">Sample Benefits Consulting Group</t>
  </si>
  <si>
    <t xml:space="preserve">Analysis Period:</t>
  </si>
  <si>
    <t xml:space="preserve">July 2025 – June 2026 (Sample Claims, 12 Months)</t>
  </si>
  <si>
    <t xml:space="preserve">Prepared For:</t>
  </si>
  <si>
    <t xml:space="preserve">Medical Plan RFP — Repricing / Network Comparison</t>
  </si>
  <si>
    <t xml:space="preserve">Report Date:</t>
  </si>
  <si>
    <t xml:space="preserve">September 14, 2026</t>
  </si>
  <si>
    <t xml:space="preserve">Vendors Included in This Comparison</t>
  </si>
  <si>
    <t xml:space="preserve">Incumbent</t>
  </si>
  <si>
    <t xml:space="preserve">Current PPO network / claims administrator — renewal repricing shown for comparison, 0% disruption by definition.</t>
  </si>
  <si>
    <t xml:space="preserve">Vendor A</t>
  </si>
  <si>
    <t xml:space="preserve">PPO — a broad, national PPO network (all four options are PPOs, for an apples-to-apples comparison). Modest discount improvement over the incumbent with minimal provider disruption.</t>
  </si>
  <si>
    <t xml:space="preserve">Vendor B</t>
  </si>
  <si>
    <t xml:space="preserve">PPO — a narrower regional PPO network. Deeper discounts from a smaller, more selective panel of contracted providers, but the greatest potential provider disruption.</t>
  </si>
  <si>
    <t xml:space="preserve">Vendor C</t>
  </si>
  <si>
    <t xml:space="preserve">PPO — a narrow, high-performance PPO network. A middle ground on both savings and disruption.</t>
  </si>
  <si>
    <t xml:space="preserve">How to Use This Workbook</t>
  </si>
  <si>
    <t xml:space="preserve">1. "Summary" — a one-page executive overview: headline figures only (Projected Annual Claims Cost, vendor factors/savings, and disruption counts), pulled by formula from the three tabs below.</t>
  </si>
  <si>
    <t xml:space="preserve">2. "Underwriting" — a renewal underwriting projection (trend, IBNR completion, large-claim pooling) from the 'Claims Experience' tab, ending in a Projected Annual Claims Cost.</t>
  </si>
  <si>
    <t xml:space="preserve">3. "Vendor Cost Comparison" — a Category Allocation assumption that splits the Underwriting tab's Projected Annual Claims Cost into Inpatient/Outpatient/Professional/Other, then applies each vendor's single repricing Factor (from 'Claims Detail') to that same baseline.</t>
  </si>
  <si>
    <t xml:space="preserve">4. "Disruption Analysis" — each vendor's out-of-network claims impact (providers, claims, and $), pulled from the 'Network Disruption' tab.</t>
  </si>
  <si>
    <t xml:space="preserve">5. "Claims Experience" — the trailing 24-month monthly claims data (500+ life group: enrollment, medical, Rx, PEPM) and large-claimant pooling detail that feeds the Underwriting tab.</t>
  </si>
  <si>
    <t xml:space="preserve">6. "Claims Detail" — every sample claim line with the client's current allowed amount, each vendor's repriced amount, and each vendor's in-network status, with savings computed by formula.</t>
  </si>
  <si>
    <t xml:space="preserve">7. "Network Disruption" — the provider-level network directory (all PPOs) and the out-of-network providers/claims/$/% by category that feeds the Disruption Analysis tab.</t>
  </si>
  <si>
    <t xml:space="preserve">Summary — Executive Overview</t>
  </si>
  <si>
    <t xml:space="preserve">Illustrative sample exhibit. Headline figures only, pulled by formula from the 'Underwriting', 'Vendor Cost Comparison', and 'Disruption Analysis' tabs - see those tabs for full detail (category-level breakdowns, assumptions, and provider-level data).</t>
  </si>
  <si>
    <t xml:space="preserve">Cost Projection (see 'Underwriting' tab)</t>
  </si>
  <si>
    <t xml:space="preserve">Projected Enrollment (New Plan Year)</t>
  </si>
  <si>
    <t xml:space="preserve">Trended, Projected PEPM</t>
  </si>
  <si>
    <t xml:space="preserve">Projected Annual Claims Cost (New Plan Year)</t>
  </si>
  <si>
    <t xml:space="preserve">Vendor Cost Comparison (see 'Vendor Cost Comparison' tab)</t>
  </si>
  <si>
    <t xml:space="preserve">Metric</t>
  </si>
  <si>
    <t xml:space="preserve">Incumbent Baseline
(Projected Cost)</t>
  </si>
  <si>
    <t xml:space="preserve">Incumbent
Renewal</t>
  </si>
  <si>
    <t xml:space="preserve">Network Model</t>
  </si>
  <si>
    <t xml:space="preserve">Overall Repricing Factor</t>
  </si>
  <si>
    <t xml:space="preserve">Overall Savings %</t>
  </si>
  <si>
    <t xml:space="preserve">Total Projected Annual Cost</t>
  </si>
  <si>
    <t xml:space="preserve">Total Savings $ vs. Baseline</t>
  </si>
  <si>
    <t xml:space="preserve">Best Option (Highest Overall Savings %)</t>
  </si>
  <si>
    <t xml:space="preserve">Disruption Analysis (see 'Disruption Analysis' tab)</t>
  </si>
  <si>
    <t xml:space="preserve">Out-of-Network Providers (Count)</t>
  </si>
  <si>
    <t xml:space="preserve">Out-of-Network Claims (Count)</t>
  </si>
  <si>
    <t xml:space="preserve">Out-of-Network Claims $</t>
  </si>
  <si>
    <t xml:space="preserve">Out-of-Network Claims %</t>
  </si>
  <si>
    <t xml:space="preserve">Lowest Disruption Option</t>
  </si>
  <si>
    <t xml:space="preserve">Underwriting — Renewal Cost Projection</t>
  </si>
  <si>
    <t xml:space="preserve">Illustrative sample exhibit for a 500+ life group. Blue text = editable assumption; black = calculated formula. Source data: the 'Claims Experience' tab. The Projected Annual Claims Cost below is carried forward as the baseline on the 'Vendor Cost Comparison' tab.</t>
  </si>
  <si>
    <t xml:space="preserve">Renewal Underwriting Projection (Experience Period = Most Recent 12 Months; see 'Claims Experience' tab for source data)</t>
  </si>
  <si>
    <t xml:space="preserve">Employee Months (Experience Period)</t>
  </si>
  <si>
    <t xml:space="preserve">Total Paid Claims (Experience Period)</t>
  </si>
  <si>
    <t xml:space="preserve">Crude PEPM</t>
  </si>
  <si>
    <t xml:space="preserve">Less: Claims in Excess of $75,000 Specific Deductible</t>
  </si>
  <si>
    <t xml:space="preserve">Pooled Claims (Experience Period)</t>
  </si>
  <si>
    <t xml:space="preserve">Pooling Charge Rate (PEPM) — Assumption</t>
  </si>
  <si>
    <t xml:space="preserve">Plus: Pooling Charge (Rate x Employee Months)</t>
  </si>
  <si>
    <t xml:space="preserve">Adjusted Paid Claims (Experience Period)</t>
  </si>
  <si>
    <t xml:space="preserve">Adjusted PEPM</t>
  </si>
  <si>
    <t xml:space="preserve">Completion Factor (IBNR Adjustment) — Assumption</t>
  </si>
  <si>
    <t xml:space="preserve">Completed PEPM</t>
  </si>
  <si>
    <t xml:space="preserve">Annual Trend Rate (Medical &amp; Rx Blended) — Assumption</t>
  </si>
  <si>
    <t xml:space="preserve">Trend Period (Months, Midpoint-to-Midpoint) — Assumption</t>
  </si>
  <si>
    <t xml:space="preserve">Trend Factor</t>
  </si>
  <si>
    <t xml:space="preserve">Projected Enrollment (New Plan Year, Assumes Stable Census)</t>
  </si>
  <si>
    <t xml:space="preserve">Vendor Cost Comparison — Repricing Analysis</t>
  </si>
  <si>
    <t xml:space="preserve">Illustrative sample exhibit. Blue text = editable assumption; black = calculated formula. The Incumbent Baseline below is the Projected Annual Claims Cost from the 'Underwriting' tab, split by the Category Allocation assumption - so this table reconciles to the underwriting projection.</t>
  </si>
  <si>
    <t xml:space="preserve">Category Allocation — Share of Projected Annual Claims Cost (Assumption)</t>
  </si>
  <si>
    <t xml:space="preserve">Inpatient — Share of Projected Annual Cost — Assumption</t>
  </si>
  <si>
    <t xml:space="preserve">Outpatient — Share of Projected Annual Cost — Assumption</t>
  </si>
  <si>
    <t xml:space="preserve">Professional — Share of Projected Annual Cost — Assumption</t>
  </si>
  <si>
    <t xml:space="preserve">Other — Share of Projected Annual Cost — Assumption</t>
  </si>
  <si>
    <t xml:space="preserve">Category Mix Check (Should Equal 100%)</t>
  </si>
  <si>
    <t xml:space="preserve">Vendor Cost Comparison — Repricing Factors Applied to the Projected Annual Claims Cost</t>
  </si>
  <si>
    <t xml:space="preserve">Each vendor has ONE overall repricing Factor, blended across all sample claims on 'Claims Detail' (0.85x = 15% savings, 1.05x = 5% increase), applied to the Incumbent Baseline split out below by the Category Allocation assumption above.</t>
  </si>
  <si>
    <t xml:space="preserve">Service Category</t>
  </si>
  <si>
    <t xml:space="preserve">Current PPO</t>
  </si>
  <si>
    <t xml:space="preserve">PPO — Broad National Network</t>
  </si>
  <si>
    <t xml:space="preserve">PPO — Regional Network</t>
  </si>
  <si>
    <t xml:space="preserve">PPO — Narrow / High-Performance Network</t>
  </si>
  <si>
    <t xml:space="preserve">Projected Annual Cost by Category</t>
  </si>
  <si>
    <t xml:space="preserve">Inpatient</t>
  </si>
  <si>
    <t xml:space="preserve">Outpatient</t>
  </si>
  <si>
    <t xml:space="preserve">Professional</t>
  </si>
  <si>
    <t xml:space="preserve">Other</t>
  </si>
  <si>
    <t xml:space="preserve">TOTAL</t>
  </si>
  <si>
    <t xml:space="preserve">Total Incumbent Baseline reconciles to the Projected Annual Claims Cost on the 'Underwriting' tab (when the Category Allocation above sums to 100%).</t>
  </si>
  <si>
    <t xml:space="preserve">Disruption Analysis — In-Network vs. Out-of-Network Impact</t>
  </si>
  <si>
    <t xml:space="preserve">Illustrative sample exhibit. Figures below are overall totals pulled from the 'Network Disruption' tab, which holds the full provider-level detail and the category-by-category breakdown.</t>
  </si>
  <si>
    <t xml:space="preserve">Network Disruption Analysis — In-Network vs. Out-of-Network Claims Impact</t>
  </si>
  <si>
    <t xml:space="preserve">Out-of-Network % is the share of claims dollars going to providers outside each vendor's network, computed from the sample claims on 'Claims Detail'. See the 'Network Disruption' tab for full provider-level detail. The Incumbent has 0% disruption by definition (it is the current network).</t>
  </si>
  <si>
    <t xml:space="preserve">Claims Detail — Sample Claims with Current Allowed, Vendor Repricing, and Network Status</t>
  </si>
  <si>
    <t xml:space="preserve">Claim ID</t>
  </si>
  <si>
    <t xml:space="preserve">Member ID</t>
  </si>
  <si>
    <t xml:space="preserve">Provider Name</t>
  </si>
  <si>
    <t xml:space="preserve">Place of Service</t>
  </si>
  <si>
    <t xml:space="preserve">Procedure / Revenue Code</t>
  </si>
  <si>
    <t xml:space="preserve">Date of Service</t>
  </si>
  <si>
    <t xml:space="preserve">Billed Charges</t>
  </si>
  <si>
    <t xml:space="preserve">Current Allowed
(Incumbent - In Force)</t>
  </si>
  <si>
    <t xml:space="preserve">Incumbent Renewal
Repriced Amount</t>
  </si>
  <si>
    <t xml:space="preserve">Incumbent
Savings $</t>
  </si>
  <si>
    <t xml:space="preserve">Incumbent
Savings %</t>
  </si>
  <si>
    <t xml:space="preserve">Vendor A
Repriced Amount</t>
  </si>
  <si>
    <t xml:space="preserve">Vendor A
Savings $</t>
  </si>
  <si>
    <t xml:space="preserve">Vendor A
Savings %</t>
  </si>
  <si>
    <t xml:space="preserve">Vendor B
Repriced Amount</t>
  </si>
  <si>
    <t xml:space="preserve">Vendor B
Savings $</t>
  </si>
  <si>
    <t xml:space="preserve">Vendor B
Savings %</t>
  </si>
  <si>
    <t xml:space="preserve">Vendor C
Repriced Amount</t>
  </si>
  <si>
    <t xml:space="preserve">Vendor C
Savings $</t>
  </si>
  <si>
    <t xml:space="preserve">Vendor C
Savings %</t>
  </si>
  <si>
    <t xml:space="preserve">Vendor A
In-Network?</t>
  </si>
  <si>
    <t xml:space="preserve">Vendor B
In-Network?</t>
  </si>
  <si>
    <t xml:space="preserve">Vendor C
In-Network?</t>
  </si>
  <si>
    <t xml:space="preserve">CLM-1009</t>
  </si>
  <si>
    <t xml:space="preserve">MBR-2046</t>
  </si>
  <si>
    <t xml:space="preserve">Regional Medical Center</t>
  </si>
  <si>
    <t xml:space="preserve">21 - Inpatient Hospital</t>
  </si>
  <si>
    <t xml:space="preserve">0450 - Emergency Room</t>
  </si>
  <si>
    <t xml:space="preserve">Yes</t>
  </si>
  <si>
    <t xml:space="preserve">CLM-1043</t>
  </si>
  <si>
    <t xml:space="preserve">MBR-2011</t>
  </si>
  <si>
    <t xml:space="preserve">MedSupply DME Co.</t>
  </si>
  <si>
    <t xml:space="preserve">12 - Home / Other</t>
  </si>
  <si>
    <t xml:space="preserve">J1745 - Infliximab Injection</t>
  </si>
  <si>
    <t xml:space="preserve">CLM-1014</t>
  </si>
  <si>
    <t xml:space="preserve">MBR-2027</t>
  </si>
  <si>
    <t xml:space="preserve">Sunrise Imaging Center</t>
  </si>
  <si>
    <t xml:space="preserve">22 - Outpatient Hospital</t>
  </si>
  <si>
    <t xml:space="preserve">93000 - EKG</t>
  </si>
  <si>
    <t xml:space="preserve">CLM-1017</t>
  </si>
  <si>
    <t xml:space="preserve">MBR-2030</t>
  </si>
  <si>
    <t xml:space="preserve">Community Ambulatory Center</t>
  </si>
  <si>
    <t xml:space="preserve">43239 - Upper GI Endoscopy</t>
  </si>
  <si>
    <t xml:space="preserve">No</t>
  </si>
  <si>
    <t xml:space="preserve">CLM-1040</t>
  </si>
  <si>
    <t xml:space="preserve">MBR-2032</t>
  </si>
  <si>
    <t xml:space="preserve">Bright Path Home Infusion</t>
  </si>
  <si>
    <t xml:space="preserve">CLM-1010</t>
  </si>
  <si>
    <t xml:space="preserve">MBR-2055</t>
  </si>
  <si>
    <t xml:space="preserve">Memorial Health Hospital</t>
  </si>
  <si>
    <t xml:space="preserve">0710 - Recovery Room</t>
  </si>
  <si>
    <t xml:space="preserve">CLM-1004</t>
  </si>
  <si>
    <t xml:space="preserve">MBR-2050</t>
  </si>
  <si>
    <t xml:space="preserve">St. Mary's Hospital</t>
  </si>
  <si>
    <t xml:space="preserve">0360 - Operating Room</t>
  </si>
  <si>
    <t xml:space="preserve">CLM-1021</t>
  </si>
  <si>
    <t xml:space="preserve">MBR-2005</t>
  </si>
  <si>
    <t xml:space="preserve">Valley Diagnostic Center</t>
  </si>
  <si>
    <t xml:space="preserve">CLM-1016</t>
  </si>
  <si>
    <t xml:space="preserve">MBR-2006</t>
  </si>
  <si>
    <t xml:space="preserve">29881 - Knee Arthroscopy</t>
  </si>
  <si>
    <t xml:space="preserve">CLM-1012</t>
  </si>
  <si>
    <t xml:space="preserve">MBR-2045</t>
  </si>
  <si>
    <t xml:space="preserve">CLM-1008</t>
  </si>
  <si>
    <t xml:space="preserve">MBR-2001</t>
  </si>
  <si>
    <t xml:space="preserve">Lakeside General Hospital</t>
  </si>
  <si>
    <t xml:space="preserve">0120 - Room &amp; Board Semi-Private</t>
  </si>
  <si>
    <t xml:space="preserve">CLM-1003</t>
  </si>
  <si>
    <t xml:space="preserve">MBR-2025</t>
  </si>
  <si>
    <t xml:space="preserve">0300 - Laboratory</t>
  </si>
  <si>
    <t xml:space="preserve">CLM-1007</t>
  </si>
  <si>
    <t xml:space="preserve">MBR-2038</t>
  </si>
  <si>
    <t xml:space="preserve">0250 - Pharmacy</t>
  </si>
  <si>
    <t xml:space="preserve">CLM-1029</t>
  </si>
  <si>
    <t xml:space="preserve">MBR-2057</t>
  </si>
  <si>
    <t xml:space="preserve">Dr. A. Patel, Cardiology</t>
  </si>
  <si>
    <t xml:space="preserve">11 - Office</t>
  </si>
  <si>
    <t xml:space="preserve">93010 - EKG Interpretation</t>
  </si>
  <si>
    <t xml:space="preserve">CLM-1048</t>
  </si>
  <si>
    <t xml:space="preserve">CareFirst Physical Therapy</t>
  </si>
  <si>
    <t xml:space="preserve">A0428 - Ambulance, BLS</t>
  </si>
  <si>
    <t xml:space="preserve">CLM-1019</t>
  </si>
  <si>
    <t xml:space="preserve">MBR-2047</t>
  </si>
  <si>
    <t xml:space="preserve">Riverside Surgery Center</t>
  </si>
  <si>
    <t xml:space="preserve">70553 - MRI Brain</t>
  </si>
  <si>
    <t xml:space="preserve">CLM-1041</t>
  </si>
  <si>
    <t xml:space="preserve">E0143 - Walker, Folding</t>
  </si>
  <si>
    <t xml:space="preserve">CLM-1045</t>
  </si>
  <si>
    <t xml:space="preserve">MBR-2028</t>
  </si>
  <si>
    <t xml:space="preserve">Apex Ambulance Services</t>
  </si>
  <si>
    <t xml:space="preserve">A4253 - Blood Glucose Test Strips</t>
  </si>
  <si>
    <t xml:space="preserve">CLM-1034</t>
  </si>
  <si>
    <t xml:space="preserve">MBR-2016</t>
  </si>
  <si>
    <t xml:space="preserve">Dr. S. Cohen, Radiology</t>
  </si>
  <si>
    <t xml:space="preserve">99213 - Office Visit, Est. Pt.</t>
  </si>
  <si>
    <t xml:space="preserve">CLM-1042</t>
  </si>
  <si>
    <t xml:space="preserve">MBR-2031</t>
  </si>
  <si>
    <t xml:space="preserve">97110 - Therapeutic Exercise</t>
  </si>
  <si>
    <t xml:space="preserve">CLM-1005</t>
  </si>
  <si>
    <t xml:space="preserve">MBR-2043</t>
  </si>
  <si>
    <t xml:space="preserve">CLM-1038</t>
  </si>
  <si>
    <t xml:space="preserve">MBR-2039</t>
  </si>
  <si>
    <t xml:space="preserve">CLM-1006</t>
  </si>
  <si>
    <t xml:space="preserve">MBR-2000</t>
  </si>
  <si>
    <t xml:space="preserve">CLM-1024</t>
  </si>
  <si>
    <t xml:space="preserve">MBR-2053</t>
  </si>
  <si>
    <t xml:space="preserve">45378 - Colonoscopy</t>
  </si>
  <si>
    <t xml:space="preserve">CLM-1030</t>
  </si>
  <si>
    <t xml:space="preserve">MBR-2059</t>
  </si>
  <si>
    <t xml:space="preserve">Dr. J. Kim, Orthopedics</t>
  </si>
  <si>
    <t xml:space="preserve">99223 - Initial Hospital Care</t>
  </si>
  <si>
    <t xml:space="preserve">CLM-1026</t>
  </si>
  <si>
    <t xml:space="preserve">99204 - Office Visit, New Pt.</t>
  </si>
  <si>
    <t xml:space="preserve">CLM-1033</t>
  </si>
  <si>
    <t xml:space="preserve">MBR-2041</t>
  </si>
  <si>
    <t xml:space="preserve">Dr. L. Nguyen, Internal Medicine</t>
  </si>
  <si>
    <t xml:space="preserve">20610 - Joint Injection</t>
  </si>
  <si>
    <t xml:space="preserve">CLM-1022</t>
  </si>
  <si>
    <t xml:space="preserve">MBR-2008</t>
  </si>
  <si>
    <t xml:space="preserve">27447 - Total Knee Replacement (OP)</t>
  </si>
  <si>
    <t xml:space="preserve">CLM-1011</t>
  </si>
  <si>
    <t xml:space="preserve">University Hospital</t>
  </si>
  <si>
    <t xml:space="preserve">CLM-1013</t>
  </si>
  <si>
    <t xml:space="preserve">MBR-2034</t>
  </si>
  <si>
    <t xml:space="preserve">Metro Outpatient Clinic</t>
  </si>
  <si>
    <t xml:space="preserve">CLM-1044</t>
  </si>
  <si>
    <t xml:space="preserve">MBR-2035</t>
  </si>
  <si>
    <t xml:space="preserve">CLM-1036</t>
  </si>
  <si>
    <t xml:space="preserve">MBR-2023</t>
  </si>
  <si>
    <t xml:space="preserve">99284 - ED Visit, Level 4</t>
  </si>
  <si>
    <t xml:space="preserve">CLM-1028</t>
  </si>
  <si>
    <t xml:space="preserve">MBR-2056</t>
  </si>
  <si>
    <t xml:space="preserve">CLM-1018</t>
  </si>
  <si>
    <t xml:space="preserve">CLM-1047</t>
  </si>
  <si>
    <t xml:space="preserve">MBR-2044</t>
  </si>
  <si>
    <t xml:space="preserve">CLM-1032</t>
  </si>
  <si>
    <t xml:space="preserve">MBR-2022</t>
  </si>
  <si>
    <t xml:space="preserve">Dr. R. Gomez, General Surgery</t>
  </si>
  <si>
    <t xml:space="preserve">CLM-1015</t>
  </si>
  <si>
    <t xml:space="preserve">MBR-2015</t>
  </si>
  <si>
    <t xml:space="preserve">CLM-1039</t>
  </si>
  <si>
    <t xml:space="preserve">MBR-2029</t>
  </si>
  <si>
    <t xml:space="preserve">CLM-1035</t>
  </si>
  <si>
    <t xml:space="preserve">MBR-2012</t>
  </si>
  <si>
    <t xml:space="preserve">CLM-1027</t>
  </si>
  <si>
    <t xml:space="preserve">CLM-1046</t>
  </si>
  <si>
    <t xml:space="preserve">MBR-2017</t>
  </si>
  <si>
    <t xml:space="preserve">CLM-1020</t>
  </si>
  <si>
    <t xml:space="preserve">MBR-2004</t>
  </si>
  <si>
    <t xml:space="preserve">CLM-1023</t>
  </si>
  <si>
    <t xml:space="preserve">CLM-1001</t>
  </si>
  <si>
    <t xml:space="preserve">MBR-2052</t>
  </si>
  <si>
    <t xml:space="preserve">CLM-1031</t>
  </si>
  <si>
    <t xml:space="preserve">MBR-2051</t>
  </si>
  <si>
    <t xml:space="preserve">CLM-1025</t>
  </si>
  <si>
    <t xml:space="preserve">CLM-1037</t>
  </si>
  <si>
    <t xml:space="preserve">MBR-2019</t>
  </si>
  <si>
    <t xml:space="preserve">CLM-1002</t>
  </si>
  <si>
    <t xml:space="preserve">TOTALS</t>
  </si>
  <si>
    <t xml:space="preserve">Claims Experience — Trailing 24-Month Group Claims Data (Sample)</t>
  </si>
  <si>
    <t xml:space="preserve">Illustrative monthly aggregate claims data for the group, used by the Renewal Underwriting Projection on the 'Summary' tab. This is a separate dataset from the per-claim line items on 'Claims Detail', which feed the vendor repricing comparison.</t>
  </si>
  <si>
    <t xml:space="preserve">Trailing 24-Month Claims Experience</t>
  </si>
  <si>
    <t xml:space="preserve">Month</t>
  </si>
  <si>
    <t xml:space="preserve">Enrolled Employees</t>
  </si>
  <si>
    <t xml:space="preserve">Medical Paid Claims</t>
  </si>
  <si>
    <t xml:space="preserve">Rx Paid Claims</t>
  </si>
  <si>
    <t xml:space="preserve">Total Paid Claims</t>
  </si>
  <si>
    <t xml:space="preserve">PEPM</t>
  </si>
  <si>
    <t xml:space="preserve">Aug-24</t>
  </si>
  <si>
    <t xml:space="preserve">Sep-24</t>
  </si>
  <si>
    <t xml:space="preserve">Oct-24</t>
  </si>
  <si>
    <t xml:space="preserve">Nov-24</t>
  </si>
  <si>
    <t xml:space="preserve">Dec-24</t>
  </si>
  <si>
    <t xml:space="preserve">Jan-25</t>
  </si>
  <si>
    <t xml:space="preserve">Feb-25</t>
  </si>
  <si>
    <t xml:space="preserve">Mar-25</t>
  </si>
  <si>
    <t xml:space="preserve">Apr-25</t>
  </si>
  <si>
    <t xml:space="preserve">May-25</t>
  </si>
  <si>
    <t xml:space="preserve">Jun-25</t>
  </si>
  <si>
    <t xml:space="preserve">Jul-25</t>
  </si>
  <si>
    <t xml:space="preserve">Aug-25</t>
  </si>
  <si>
    <t xml:space="preserve">Sep-25</t>
  </si>
  <si>
    <t xml:space="preserve">Oct-25</t>
  </si>
  <si>
    <t xml:space="preserve">Nov-25</t>
  </si>
  <si>
    <t xml:space="preserve">Dec-25</t>
  </si>
  <si>
    <t xml:space="preserve">Jan-26</t>
  </si>
  <si>
    <t xml:space="preserve">Feb-26</t>
  </si>
  <si>
    <t xml:space="preserve">Mar-26</t>
  </si>
  <si>
    <t xml:space="preserve">Apr-26</t>
  </si>
  <si>
    <t xml:space="preserve">May-26</t>
  </si>
  <si>
    <t xml:space="preserve">Jun-26</t>
  </si>
  <si>
    <t xml:space="preserve">Jul-26</t>
  </si>
  <si>
    <t xml:space="preserve">Large Claimants in Experience Period (Paid Claims &gt; $75,000 Specific Deductible)</t>
  </si>
  <si>
    <t xml:space="preserve">Claimant ID</t>
  </si>
  <si>
    <t xml:space="preserve">Diagnosis Category</t>
  </si>
  <si>
    <t xml:space="preserve">Total Paid</t>
  </si>
  <si>
    <t xml:space="preserve">Excess Over $75,000</t>
  </si>
  <si>
    <t xml:space="preserve">EE-1187</t>
  </si>
  <si>
    <t xml:space="preserve">NICU / Neonatal Care</t>
  </si>
  <si>
    <t xml:space="preserve">EE-2043</t>
  </si>
  <si>
    <t xml:space="preserve">Solid Organ Transplant</t>
  </si>
  <si>
    <t xml:space="preserve">EE-3350</t>
  </si>
  <si>
    <t xml:space="preserve">Oncology / Chemotherapy</t>
  </si>
  <si>
    <t xml:space="preserve">EE-4021</t>
  </si>
  <si>
    <t xml:space="preserve">Cardiac Surgery (CABG)</t>
  </si>
  <si>
    <t xml:space="preserve">Total</t>
  </si>
  <si>
    <t xml:space="preserve">Network Disruption — Provider Network Status &amp; Out-of-Network Impact (Sample)</t>
  </si>
  <si>
    <t xml:space="preserve">Illustrative provider-level network match for each vendor's network model, and the resulting in-network vs. out-of-network claims impact by category, computed from the sample claims on 'Claims Detail'. Disruption = the share of claims dollars going to providers NOT in a vendor's network.</t>
  </si>
  <si>
    <t xml:space="preserve">Provider Network Directory</t>
  </si>
  <si>
    <t xml:space="preserve">Vendor A
PPO — Broad National Network</t>
  </si>
  <si>
    <t xml:space="preserve">Vendor B
PPO — Regional Network</t>
  </si>
  <si>
    <t xml:space="preserve">Vendor C
PPO — Narrow / High-Performance Network</t>
  </si>
  <si>
    <t xml:space="preserve">HomeCare Health Services</t>
  </si>
  <si>
    <t xml:space="preserve">Category Totals (Reference)</t>
  </si>
  <si>
    <t xml:space="preserve">Total Providers</t>
  </si>
  <si>
    <t xml:space="preserve">Total Claims</t>
  </si>
  <si>
    <t xml:space="preserve">Total Allowed $</t>
  </si>
  <si>
    <t xml:space="preserve">Out-of-Network Claims % (of Category Claim $)</t>
  </si>
</sst>
</file>

<file path=xl/styles.xml><?xml version="1.0" encoding="utf-8"?>
<styleSheet xmlns="http://schemas.openxmlformats.org/spreadsheetml/2006/main">
  <numFmts count="8">
    <numFmt numFmtId="164" formatCode="General"/>
    <numFmt numFmtId="165" formatCode="#,##0"/>
    <numFmt numFmtId="166" formatCode="\$#,##0.00;&quot;($&quot;#,##0.00\)"/>
    <numFmt numFmtId="167" formatCode="\$#,##0;&quot;($&quot;#,##0\)"/>
    <numFmt numFmtId="168" formatCode="0.00\x"/>
    <numFmt numFmtId="169" formatCode="0.0%;\(0.0%\)"/>
    <numFmt numFmtId="170" formatCode="0"/>
    <numFmt numFmtId="171" formatCode="mm/dd/yyyy"/>
  </numFmts>
  <fonts count="13">
    <font>
      <sz val="11"/>
      <color theme="1"/>
      <name val="Calibri"/>
      <family val="2"/>
      <charset val="1"/>
    </font>
    <font>
      <sz val="10"/>
      <name val="Arial"/>
      <family val="0"/>
    </font>
    <font>
      <sz val="10"/>
      <name val="Arial"/>
      <family val="0"/>
    </font>
    <font>
      <sz val="10"/>
      <name val="Arial"/>
      <family val="0"/>
    </font>
    <font>
      <b val="true"/>
      <sz val="18"/>
      <color rgb="FF1F3864"/>
      <name val="Arial"/>
      <family val="0"/>
      <charset val="1"/>
    </font>
    <font>
      <i val="true"/>
      <sz val="11"/>
      <color rgb="FF595959"/>
      <name val="Arial"/>
      <family val="0"/>
      <charset val="1"/>
    </font>
    <font>
      <i val="true"/>
      <sz val="10"/>
      <color rgb="FFC00000"/>
      <name val="Arial"/>
      <family val="0"/>
      <charset val="1"/>
    </font>
    <font>
      <b val="true"/>
      <sz val="10"/>
      <name val="Arial"/>
      <family val="0"/>
      <charset val="1"/>
    </font>
    <font>
      <sz val="10"/>
      <name val="Arial"/>
      <family val="0"/>
      <charset val="1"/>
    </font>
    <font>
      <b val="true"/>
      <sz val="12"/>
      <color rgb="FF1F3864"/>
      <name val="Arial"/>
      <family val="0"/>
      <charset val="1"/>
    </font>
    <font>
      <b val="true"/>
      <sz val="11"/>
      <color rgb="FF1F3864"/>
      <name val="Arial"/>
      <family val="0"/>
      <charset val="1"/>
    </font>
    <font>
      <b val="true"/>
      <sz val="10"/>
      <color rgb="FFFFFFFF"/>
      <name val="Arial"/>
      <family val="0"/>
      <charset val="1"/>
    </font>
    <font>
      <sz val="10"/>
      <color rgb="FF0000FF"/>
      <name val="Arial"/>
      <family val="0"/>
      <charset val="1"/>
    </font>
  </fonts>
  <fills count="11">
    <fill>
      <patternFill patternType="none"/>
    </fill>
    <fill>
      <patternFill patternType="gray125"/>
    </fill>
    <fill>
      <patternFill patternType="solid">
        <fgColor rgb="FFFFE699"/>
        <bgColor rgb="FFF8CBAD"/>
      </patternFill>
    </fill>
    <fill>
      <patternFill patternType="solid">
        <fgColor rgb="FF1F3864"/>
        <bgColor rgb="FF333333"/>
      </patternFill>
    </fill>
    <fill>
      <patternFill patternType="solid">
        <fgColor rgb="FF7F7F7F"/>
        <bgColor rgb="FF969696"/>
      </patternFill>
    </fill>
    <fill>
      <patternFill patternType="solid">
        <fgColor rgb="FF2E75B6"/>
        <bgColor rgb="FF0066CC"/>
      </patternFill>
    </fill>
    <fill>
      <patternFill patternType="solid">
        <fgColor rgb="FF548235"/>
        <bgColor rgb="FF339966"/>
      </patternFill>
    </fill>
    <fill>
      <patternFill patternType="solid">
        <fgColor rgb="FFBF8F00"/>
        <bgColor rgb="FFFF6600"/>
      </patternFill>
    </fill>
    <fill>
      <patternFill patternType="solid">
        <fgColor rgb="FFD9E2F3"/>
        <bgColor rgb="FFEAF1FB"/>
      </patternFill>
    </fill>
    <fill>
      <patternFill patternType="solid">
        <fgColor rgb="FFC6E0B4"/>
        <bgColor rgb="FFD9E2F3"/>
      </patternFill>
    </fill>
    <fill>
      <patternFill patternType="solid">
        <fgColor rgb="FFEAF1FB"/>
        <bgColor rgb="FFD9E2F3"/>
      </patternFill>
    </fill>
  </fills>
  <borders count="3">
    <border diagonalUp="false" diagonalDown="false">
      <left/>
      <right/>
      <top/>
      <bottom/>
      <diagonal/>
    </border>
    <border diagonalUp="false" diagonalDown="false">
      <left style="thin">
        <color rgb="FFB7B7B7"/>
      </left>
      <right/>
      <top style="thin">
        <color rgb="FFB7B7B7"/>
      </top>
      <bottom style="thin">
        <color rgb="FFB7B7B7"/>
      </bottom>
      <diagonal/>
    </border>
    <border diagonalUp="false" diagonalDown="false">
      <left style="thin">
        <color rgb="FFB7B7B7"/>
      </left>
      <right style="thin">
        <color rgb="FFB7B7B7"/>
      </right>
      <top style="thin">
        <color rgb="FFB7B7B7"/>
      </top>
      <bottom style="thin">
        <color rgb="FFB7B7B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8" fillId="0" borderId="2" xfId="0" applyFont="true" applyBorder="true" applyAlignment="true" applyProtection="false">
      <alignment horizontal="right" vertical="bottom" textRotation="0" wrapText="false" indent="0" shrinkToFit="false"/>
      <protection locked="true" hidden="false"/>
    </xf>
    <xf numFmtId="166" fontId="8" fillId="0" borderId="2" xfId="0" applyFont="true" applyBorder="true" applyAlignment="true" applyProtection="false">
      <alignment horizontal="right"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7" fontId="10" fillId="2" borderId="2" xfId="0" applyFont="true" applyBorder="true" applyAlignment="true" applyProtection="false">
      <alignment horizontal="right" vertical="bottom" textRotation="0" wrapText="false" indent="0" shrinkToFit="false"/>
      <protection locked="true" hidden="false"/>
    </xf>
    <xf numFmtId="164" fontId="11" fillId="3" borderId="2" xfId="0" applyFont="true" applyBorder="true" applyAlignment="true" applyProtection="false">
      <alignment horizontal="center" vertical="center" textRotation="0" wrapText="true" indent="0" shrinkToFit="false"/>
      <protection locked="true" hidden="false"/>
    </xf>
    <xf numFmtId="164" fontId="11" fillId="4" borderId="2" xfId="0" applyFont="true" applyBorder="true" applyAlignment="true" applyProtection="false">
      <alignment horizontal="center" vertical="center" textRotation="0" wrapText="true" indent="0" shrinkToFit="false"/>
      <protection locked="true" hidden="false"/>
    </xf>
    <xf numFmtId="164" fontId="11" fillId="5" borderId="2" xfId="0" applyFont="true" applyBorder="true" applyAlignment="true" applyProtection="false">
      <alignment horizontal="center" vertical="center" textRotation="0" wrapText="true" indent="0" shrinkToFit="false"/>
      <protection locked="true" hidden="false"/>
    </xf>
    <xf numFmtId="164" fontId="11" fillId="6" borderId="2" xfId="0" applyFont="true" applyBorder="true" applyAlignment="true" applyProtection="false">
      <alignment horizontal="center" vertical="center" textRotation="0" wrapText="true" indent="0" shrinkToFit="false"/>
      <protection locked="true" hidden="false"/>
    </xf>
    <xf numFmtId="164" fontId="11" fillId="7" borderId="2" xfId="0" applyFont="true" applyBorder="true" applyAlignment="true" applyProtection="false">
      <alignment horizontal="center" vertical="center" textRotation="0" wrapText="true" indent="0" shrinkToFit="false"/>
      <protection locked="true" hidden="false"/>
    </xf>
    <xf numFmtId="164" fontId="7" fillId="0" borderId="2" xfId="0" applyFont="tru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center" vertical="bottom" textRotation="0" wrapText="true" indent="0" shrinkToFit="false"/>
      <protection locked="true" hidden="false"/>
    </xf>
    <xf numFmtId="164" fontId="7" fillId="8" borderId="2" xfId="0" applyFont="true" applyBorder="true" applyAlignment="false" applyProtection="false">
      <alignment horizontal="general" vertical="bottom" textRotation="0" wrapText="false" indent="0" shrinkToFit="false"/>
      <protection locked="true" hidden="false"/>
    </xf>
    <xf numFmtId="168" fontId="8" fillId="8" borderId="2" xfId="0" applyFont="true" applyBorder="true" applyAlignment="true" applyProtection="false">
      <alignment horizontal="center" vertical="bottom" textRotation="0" wrapText="false" indent="0" shrinkToFit="false"/>
      <protection locked="true" hidden="false"/>
    </xf>
    <xf numFmtId="169" fontId="8" fillId="8" borderId="2" xfId="0" applyFont="true" applyBorder="true" applyAlignment="true" applyProtection="false">
      <alignment horizontal="center" vertical="bottom" textRotation="0" wrapText="false" indent="0" shrinkToFit="false"/>
      <protection locked="true" hidden="false"/>
    </xf>
    <xf numFmtId="167" fontId="7" fillId="8" borderId="2" xfId="0" applyFont="true" applyBorder="true" applyAlignment="false" applyProtection="false">
      <alignment horizontal="general" vertical="bottom" textRotation="0" wrapText="false" indent="0" shrinkToFit="false"/>
      <protection locked="true" hidden="false"/>
    </xf>
    <xf numFmtId="167" fontId="8" fillId="0" borderId="2" xfId="0" applyFont="true" applyBorder="true" applyAlignment="false" applyProtection="false">
      <alignment horizontal="general" vertical="bottom" textRotation="0" wrapText="false" indent="0" shrinkToFit="false"/>
      <protection locked="true" hidden="false"/>
    </xf>
    <xf numFmtId="164" fontId="10" fillId="9" borderId="1" xfId="0" applyFont="true" applyBorder="true" applyAlignment="true" applyProtection="false">
      <alignment horizontal="left" vertical="bottom" textRotation="0" wrapText="false" indent="0" shrinkToFit="false"/>
      <protection locked="true" hidden="false"/>
    </xf>
    <xf numFmtId="165" fontId="8" fillId="8" borderId="2" xfId="0" applyFont="true" applyBorder="true" applyAlignment="true" applyProtection="false">
      <alignment horizontal="center" vertical="bottom" textRotation="0" wrapText="false" indent="0" shrinkToFit="false"/>
      <protection locked="true" hidden="false"/>
    </xf>
    <xf numFmtId="167" fontId="8" fillId="8" borderId="2" xfId="0" applyFont="true" applyBorder="true" applyAlignment="true" applyProtection="false">
      <alignment horizontal="center" vertical="bottom" textRotation="0" wrapText="false" indent="0" shrinkToFit="false"/>
      <protection locked="true" hidden="false"/>
    </xf>
    <xf numFmtId="167" fontId="8" fillId="0" borderId="2" xfId="0" applyFont="true" applyBorder="true" applyAlignment="true" applyProtection="false">
      <alignment horizontal="right" vertical="bottom" textRotation="0" wrapText="false" indent="0" shrinkToFit="false"/>
      <protection locked="true" hidden="false"/>
    </xf>
    <xf numFmtId="166" fontId="12" fillId="0" borderId="2" xfId="0" applyFont="true" applyBorder="true" applyAlignment="true" applyProtection="false">
      <alignment horizontal="right" vertical="bottom" textRotation="0" wrapText="false" indent="0" shrinkToFit="false"/>
      <protection locked="true" hidden="false"/>
    </xf>
    <xf numFmtId="168" fontId="12" fillId="0" borderId="2" xfId="0" applyFont="true" applyBorder="true" applyAlignment="true" applyProtection="false">
      <alignment horizontal="right" vertical="bottom" textRotation="0" wrapText="false" indent="0" shrinkToFit="false"/>
      <protection locked="true" hidden="false"/>
    </xf>
    <xf numFmtId="169" fontId="12" fillId="0" borderId="2" xfId="0" applyFont="true" applyBorder="true" applyAlignment="true" applyProtection="false">
      <alignment horizontal="right" vertical="bottom" textRotation="0" wrapText="false" indent="0" shrinkToFit="false"/>
      <protection locked="true" hidden="false"/>
    </xf>
    <xf numFmtId="170" fontId="12" fillId="0" borderId="2" xfId="0" applyFont="true" applyBorder="true" applyAlignment="true" applyProtection="false">
      <alignment horizontal="right" vertical="bottom" textRotation="0" wrapText="false" indent="0" shrinkToFit="false"/>
      <protection locked="true" hidden="false"/>
    </xf>
    <xf numFmtId="168" fontId="8" fillId="0" borderId="2" xfId="0" applyFont="true" applyBorder="true" applyAlignment="true" applyProtection="false">
      <alignment horizontal="right" vertical="bottom" textRotation="0" wrapText="false" indent="0" shrinkToFit="false"/>
      <protection locked="true" hidden="false"/>
    </xf>
    <xf numFmtId="169" fontId="8" fillId="0" borderId="2" xfId="0" applyFont="true" applyBorder="true" applyAlignment="true" applyProtection="false">
      <alignment horizontal="right"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71" fontId="8" fillId="0" borderId="2" xfId="0" applyFont="true" applyBorder="true" applyAlignment="false" applyProtection="false">
      <alignment horizontal="general" vertical="bottom" textRotation="0" wrapText="false" indent="0" shrinkToFit="false"/>
      <protection locked="true" hidden="false"/>
    </xf>
    <xf numFmtId="169" fontId="8" fillId="0" borderId="2" xfId="0" applyFont="tru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center" vertical="bottom" textRotation="0" wrapText="false" indent="0" shrinkToFit="false"/>
      <protection locked="true" hidden="false"/>
    </xf>
    <xf numFmtId="164" fontId="7" fillId="8" borderId="0" xfId="0" applyFont="true" applyBorder="false" applyAlignment="false" applyProtection="false">
      <alignment horizontal="general" vertical="bottom" textRotation="0" wrapText="false" indent="0" shrinkToFit="false"/>
      <protection locked="true" hidden="false"/>
    </xf>
    <xf numFmtId="169" fontId="7" fillId="8" borderId="2" xfId="0" applyFont="true" applyBorder="true" applyAlignment="false" applyProtection="false">
      <alignment horizontal="general" vertical="bottom" textRotation="0" wrapText="false" indent="0" shrinkToFit="false"/>
      <protection locked="true" hidden="false"/>
    </xf>
    <xf numFmtId="166" fontId="8" fillId="0" borderId="2" xfId="0" applyFont="true" applyBorder="true" applyAlignment="false" applyProtection="false">
      <alignment horizontal="general" vertical="bottom" textRotation="0" wrapText="false" indent="0" shrinkToFit="false"/>
      <protection locked="true" hidden="false"/>
    </xf>
    <xf numFmtId="164" fontId="8" fillId="10" borderId="2" xfId="0" applyFont="true" applyBorder="true" applyAlignment="false" applyProtection="false">
      <alignment horizontal="general" vertical="bottom" textRotation="0" wrapText="false" indent="0" shrinkToFit="false"/>
      <protection locked="true" hidden="false"/>
    </xf>
    <xf numFmtId="167" fontId="8" fillId="10" borderId="2" xfId="0" applyFont="true" applyBorder="true" applyAlignment="false" applyProtection="false">
      <alignment horizontal="general" vertical="bottom" textRotation="0" wrapText="false" indent="0" shrinkToFit="false"/>
      <protection locked="true" hidden="false"/>
    </xf>
    <xf numFmtId="166" fontId="8" fillId="10" borderId="2" xfId="0" applyFont="true" applyBorder="tru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7" fillId="8" borderId="1" xfId="0" applyFont="true" applyBorder="true" applyAlignment="false" applyProtection="false">
      <alignment horizontal="general" vertical="bottom" textRotation="0" wrapText="false" indent="0" shrinkToFit="false"/>
      <protection locked="true" hidden="false"/>
    </xf>
    <xf numFmtId="165" fontId="8" fillId="0" borderId="2" xfId="0" applyFont="true" applyBorder="true" applyAlignment="false" applyProtection="false">
      <alignment horizontal="general" vertical="bottom" textRotation="0" wrapText="false" indent="0" shrinkToFit="false"/>
      <protection locked="true" hidden="false"/>
    </xf>
    <xf numFmtId="165" fontId="7" fillId="8" borderId="2"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bgColor rgb="FFC6E0B4"/>
        </patternFill>
      </fill>
    </dxf>
    <dxf>
      <fill>
        <patternFill>
          <bgColor rgb="FFF8CBAD"/>
        </patternFill>
      </fill>
    </dxf>
    <dxf>
      <fill>
        <patternFill patternType="solid">
          <fgColor rgb="FF1F3864"/>
          <bgColor rgb="FF000000"/>
        </patternFill>
      </fill>
    </dxf>
    <dxf>
      <fill>
        <patternFill patternType="solid">
          <bgColor rgb="FF000000"/>
        </patternFill>
      </fill>
    </dxf>
    <dxf>
      <fill>
        <patternFill patternType="solid">
          <fgColor rgb="FFFFFFFF"/>
          <bgColor rgb="FF000000"/>
        </patternFill>
      </fill>
    </dxf>
    <dxf>
      <fill>
        <patternFill patternType="solid">
          <fgColor rgb="FF7F7F7F"/>
          <bgColor rgb="FF000000"/>
        </patternFill>
      </fill>
    </dxf>
    <dxf>
      <fill>
        <patternFill patternType="solid">
          <fgColor rgb="FF2E75B6"/>
          <bgColor rgb="FF000000"/>
        </patternFill>
      </fill>
    </dxf>
    <dxf>
      <fill>
        <patternFill patternType="solid">
          <fgColor rgb="FF548235"/>
          <bgColor rgb="FF000000"/>
        </patternFill>
      </fill>
    </dxf>
    <dxf>
      <fill>
        <patternFill patternType="solid">
          <fgColor rgb="FFBF8F00"/>
          <bgColor rgb="FF000000"/>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548235"/>
      <rgbColor rgb="FF800080"/>
      <rgbColor rgb="FF008080"/>
      <rgbColor rgb="FFB7B7B7"/>
      <rgbColor rgb="FF7F7F7F"/>
      <rgbColor rgb="FF9999FF"/>
      <rgbColor rgb="FF993366"/>
      <rgbColor rgb="FFFFFFCC"/>
      <rgbColor rgb="FFEAF1FB"/>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6E0B4"/>
      <rgbColor rgb="FFFFE699"/>
      <rgbColor rgb="FF99CCFF"/>
      <rgbColor rgb="FFFF99CC"/>
      <rgbColor rgb="FFCC99FF"/>
      <rgbColor rgb="FFF8CBAD"/>
      <rgbColor rgb="FF2E75B6"/>
      <rgbColor rgb="FF33CCCC"/>
      <rgbColor rgb="FF99CC00"/>
      <rgbColor rgb="FFFFCC00"/>
      <rgbColor rgb="FFBF8F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6.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F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6" min="2" style="0" width="22"/>
    <col collapsed="false" customWidth="true" hidden="false" outlineLevel="0" max="7" min="7" style="0" width="3"/>
  </cols>
  <sheetData>
    <row r="3" customFormat="false" ht="22.05" hidden="false" customHeight="false" outlineLevel="0" collapsed="false">
      <c r="B3" s="1" t="s">
        <v>0</v>
      </c>
      <c r="C3" s="1"/>
      <c r="D3" s="1"/>
      <c r="E3" s="1"/>
      <c r="F3" s="1"/>
    </row>
    <row r="4" customFormat="false" ht="15" hidden="false" customHeight="false" outlineLevel="0" collapsed="false">
      <c r="B4" s="2" t="s">
        <v>1</v>
      </c>
      <c r="C4" s="2"/>
      <c r="D4" s="2"/>
      <c r="E4" s="2"/>
      <c r="F4" s="2"/>
    </row>
    <row r="6" customFormat="false" ht="33.75" hidden="false" customHeight="true" outlineLevel="0" collapsed="false">
      <c r="B6" s="3" t="s">
        <v>2</v>
      </c>
      <c r="C6" s="3"/>
      <c r="D6" s="3"/>
      <c r="E6" s="3"/>
      <c r="F6" s="3"/>
    </row>
    <row r="7" customFormat="false" ht="33.75" hidden="false" customHeight="true" outlineLevel="0" collapsed="false">
      <c r="B7" s="3"/>
      <c r="C7" s="3"/>
      <c r="D7" s="3"/>
      <c r="E7" s="3"/>
      <c r="F7" s="3"/>
    </row>
    <row r="9" customFormat="false" ht="15" hidden="false" customHeight="false" outlineLevel="0" collapsed="false">
      <c r="B9" s="4" t="s">
        <v>3</v>
      </c>
      <c r="C9" s="5" t="s">
        <v>4</v>
      </c>
    </row>
    <row r="10" customFormat="false" ht="15" hidden="false" customHeight="false" outlineLevel="0" collapsed="false">
      <c r="B10" s="4" t="s">
        <v>5</v>
      </c>
      <c r="C10" s="5" t="s">
        <v>6</v>
      </c>
    </row>
    <row r="11" customFormat="false" ht="15" hidden="false" customHeight="false" outlineLevel="0" collapsed="false">
      <c r="B11" s="4" t="s">
        <v>7</v>
      </c>
      <c r="C11" s="5" t="s">
        <v>8</v>
      </c>
    </row>
    <row r="12" customFormat="false" ht="15" hidden="false" customHeight="false" outlineLevel="0" collapsed="false">
      <c r="B12" s="4" t="s">
        <v>9</v>
      </c>
      <c r="C12" s="5" t="s">
        <v>10</v>
      </c>
    </row>
    <row r="13" customFormat="false" ht="15" hidden="false" customHeight="false" outlineLevel="0" collapsed="false">
      <c r="B13" s="4" t="s">
        <v>11</v>
      </c>
      <c r="C13" s="5" t="s">
        <v>12</v>
      </c>
    </row>
    <row r="15" customFormat="false" ht="15" hidden="false" customHeight="false" outlineLevel="0" collapsed="false">
      <c r="B15" s="6" t="s">
        <v>13</v>
      </c>
      <c r="C15" s="6"/>
      <c r="D15" s="6"/>
      <c r="E15" s="6"/>
      <c r="F15" s="6"/>
    </row>
    <row r="16" customFormat="false" ht="15" hidden="false" customHeight="false" outlineLevel="0" collapsed="false">
      <c r="B16" s="4" t="s">
        <v>14</v>
      </c>
      <c r="C16" s="7" t="s">
        <v>15</v>
      </c>
      <c r="D16" s="7"/>
      <c r="E16" s="7"/>
      <c r="F16" s="7"/>
    </row>
    <row r="17" customFormat="false" ht="15" hidden="false" customHeight="false" outlineLevel="0" collapsed="false">
      <c r="B17" s="4" t="s">
        <v>16</v>
      </c>
      <c r="C17" s="7" t="s">
        <v>17</v>
      </c>
      <c r="D17" s="7"/>
      <c r="E17" s="7"/>
      <c r="F17" s="7"/>
    </row>
    <row r="18" customFormat="false" ht="15" hidden="false" customHeight="false" outlineLevel="0" collapsed="false">
      <c r="B18" s="4" t="s">
        <v>18</v>
      </c>
      <c r="C18" s="7" t="s">
        <v>19</v>
      </c>
      <c r="D18" s="7"/>
      <c r="E18" s="7"/>
      <c r="F18" s="7"/>
    </row>
    <row r="19" customFormat="false" ht="15" hidden="false" customHeight="false" outlineLevel="0" collapsed="false">
      <c r="B19" s="4" t="s">
        <v>20</v>
      </c>
      <c r="C19" s="7" t="s">
        <v>21</v>
      </c>
      <c r="D19" s="7"/>
      <c r="E19" s="7"/>
      <c r="F19" s="7"/>
    </row>
    <row r="21" customFormat="false" ht="15" hidden="false" customHeight="false" outlineLevel="0" collapsed="false">
      <c r="B21" s="6" t="s">
        <v>22</v>
      </c>
      <c r="C21" s="6"/>
      <c r="D21" s="6"/>
      <c r="E21" s="6"/>
      <c r="F21" s="6"/>
    </row>
    <row r="22" customFormat="false" ht="23.85" hidden="false" customHeight="true" outlineLevel="0" collapsed="false">
      <c r="B22" s="8" t="s">
        <v>23</v>
      </c>
      <c r="C22" s="8"/>
      <c r="D22" s="8"/>
      <c r="E22" s="8"/>
      <c r="F22" s="8"/>
    </row>
    <row r="23" customFormat="false" ht="23.85" hidden="false" customHeight="true" outlineLevel="0" collapsed="false">
      <c r="B23" s="8" t="s">
        <v>24</v>
      </c>
      <c r="C23" s="8"/>
      <c r="D23" s="8"/>
      <c r="E23" s="8"/>
      <c r="F23" s="8"/>
    </row>
    <row r="24" customFormat="false" ht="23.85" hidden="false" customHeight="true" outlineLevel="0" collapsed="false">
      <c r="B24" s="8" t="s">
        <v>25</v>
      </c>
      <c r="C24" s="8"/>
      <c r="D24" s="8"/>
      <c r="E24" s="8"/>
      <c r="F24" s="8"/>
    </row>
    <row r="25" customFormat="false" ht="23.85" hidden="false" customHeight="true" outlineLevel="0" collapsed="false">
      <c r="B25" s="8" t="s">
        <v>26</v>
      </c>
      <c r="C25" s="8"/>
      <c r="D25" s="8"/>
      <c r="E25" s="8"/>
      <c r="F25" s="8"/>
    </row>
    <row r="26" customFormat="false" ht="23.85" hidden="false" customHeight="true" outlineLevel="0" collapsed="false">
      <c r="B26" s="8" t="s">
        <v>27</v>
      </c>
      <c r="C26" s="8"/>
      <c r="D26" s="8"/>
      <c r="E26" s="8"/>
      <c r="F26" s="8"/>
    </row>
    <row r="27" customFormat="false" ht="23.85" hidden="false" customHeight="true" outlineLevel="0" collapsed="false">
      <c r="B27" s="8" t="s">
        <v>28</v>
      </c>
      <c r="C27" s="8"/>
      <c r="D27" s="8"/>
      <c r="E27" s="8"/>
      <c r="F27" s="8"/>
    </row>
    <row r="28" customFormat="false" ht="23.85" hidden="false" customHeight="true" outlineLevel="0" collapsed="false">
      <c r="B28" s="8" t="s">
        <v>29</v>
      </c>
      <c r="C28" s="8"/>
      <c r="D28" s="8"/>
      <c r="E28" s="8"/>
      <c r="F28" s="8"/>
    </row>
  </sheetData>
  <mergeCells count="16">
    <mergeCell ref="B3:F3"/>
    <mergeCell ref="B4:F4"/>
    <mergeCell ref="B6:F7"/>
    <mergeCell ref="B15:F15"/>
    <mergeCell ref="C16:F16"/>
    <mergeCell ref="C17:F17"/>
    <mergeCell ref="C18:F18"/>
    <mergeCell ref="C19:F19"/>
    <mergeCell ref="B21:F21"/>
    <mergeCell ref="B22:F22"/>
    <mergeCell ref="B23:F23"/>
    <mergeCell ref="B24:F24"/>
    <mergeCell ref="B25:F25"/>
    <mergeCell ref="B26:F26"/>
    <mergeCell ref="B27:F27"/>
    <mergeCell ref="B28:F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30</v>
      </c>
      <c r="B1" s="1"/>
      <c r="C1" s="1"/>
      <c r="D1" s="1"/>
      <c r="E1" s="1"/>
      <c r="F1" s="1"/>
    </row>
    <row r="2" customFormat="false" ht="30" hidden="false" customHeight="true" outlineLevel="0" collapsed="false">
      <c r="A2" s="9" t="s">
        <v>31</v>
      </c>
      <c r="B2" s="9"/>
      <c r="C2" s="9"/>
      <c r="D2" s="9"/>
      <c r="E2" s="9"/>
      <c r="F2" s="9"/>
    </row>
    <row r="4" customFormat="false" ht="19.5" hidden="false" customHeight="true" outlineLevel="0" collapsed="false">
      <c r="A4" s="6" t="s">
        <v>32</v>
      </c>
      <c r="B4" s="6"/>
      <c r="C4" s="6"/>
      <c r="D4" s="6"/>
      <c r="E4" s="6"/>
      <c r="F4" s="6"/>
    </row>
    <row r="5" customFormat="false" ht="15" hidden="false" customHeight="false" outlineLevel="0" collapsed="false">
      <c r="A5" s="10" t="s">
        <v>33</v>
      </c>
      <c r="B5" s="10"/>
      <c r="C5" s="10"/>
      <c r="D5" s="10"/>
      <c r="E5" s="10"/>
      <c r="F5" s="11" t="n">
        <f aca="false">Underwriting!F20</f>
        <v>520</v>
      </c>
    </row>
    <row r="6" customFormat="false" ht="15" hidden="false" customHeight="false" outlineLevel="0" collapsed="false">
      <c r="A6" s="10" t="s">
        <v>34</v>
      </c>
      <c r="B6" s="10"/>
      <c r="C6" s="10"/>
      <c r="D6" s="10"/>
      <c r="E6" s="10"/>
      <c r="F6" s="12" t="n">
        <f aca="false">Underwriting!F19</f>
        <v>720.418908649719</v>
      </c>
    </row>
    <row r="7" customFormat="false" ht="15" hidden="false" customHeight="false" outlineLevel="0" collapsed="false">
      <c r="A7" s="13" t="s">
        <v>35</v>
      </c>
      <c r="B7" s="13"/>
      <c r="C7" s="13"/>
      <c r="D7" s="13"/>
      <c r="E7" s="13"/>
      <c r="F7" s="14" t="n">
        <f aca="false">Underwriting!F21</f>
        <v>4495413.98997425</v>
      </c>
    </row>
    <row r="9" customFormat="false" ht="19.5" hidden="false" customHeight="true" outlineLevel="0" collapsed="false">
      <c r="A9" s="6" t="s">
        <v>36</v>
      </c>
      <c r="B9" s="6"/>
      <c r="C9" s="6"/>
      <c r="D9" s="6"/>
      <c r="E9" s="6"/>
      <c r="F9" s="6"/>
    </row>
    <row r="10" customFormat="false" ht="31.5" hidden="false" customHeight="true" outlineLevel="0" collapsed="false">
      <c r="A10" s="15" t="s">
        <v>37</v>
      </c>
      <c r="B10" s="15" t="s">
        <v>38</v>
      </c>
      <c r="C10" s="16" t="s">
        <v>39</v>
      </c>
      <c r="D10" s="17" t="s">
        <v>16</v>
      </c>
      <c r="E10" s="18" t="s">
        <v>18</v>
      </c>
      <c r="F10" s="19" t="s">
        <v>20</v>
      </c>
    </row>
    <row r="11" customFormat="false" ht="27.75" hidden="false" customHeight="true" outlineLevel="0" collapsed="false">
      <c r="A11" s="20" t="s">
        <v>40</v>
      </c>
      <c r="B11" s="21"/>
      <c r="C11" s="21" t="str">
        <f aca="false">'Vendor Cost Comparison'!C15</f>
        <v>Current PPO</v>
      </c>
      <c r="D11" s="21" t="str">
        <f aca="false">'Vendor Cost Comparison'!D15</f>
        <v>PPO — Broad National Network</v>
      </c>
      <c r="E11" s="21" t="str">
        <f aca="false">'Vendor Cost Comparison'!E15</f>
        <v>PPO — Regional Network</v>
      </c>
      <c r="F11" s="21" t="str">
        <f aca="false">'Vendor Cost Comparison'!F15</f>
        <v>PPO — Narrow / High-Performance Network</v>
      </c>
    </row>
    <row r="12" customFormat="false" ht="15" hidden="false" customHeight="false" outlineLevel="0" collapsed="false">
      <c r="A12" s="22" t="s">
        <v>41</v>
      </c>
      <c r="B12" s="23" t="n">
        <f aca="false">'Vendor Cost Comparison'!B16</f>
        <v>1</v>
      </c>
      <c r="C12" s="23" t="n">
        <f aca="false">'Vendor Cost Comparison'!C16</f>
        <v>1.02062310578917</v>
      </c>
      <c r="D12" s="23" t="n">
        <f aca="false">'Vendor Cost Comparison'!D16</f>
        <v>0.870087503791264</v>
      </c>
      <c r="E12" s="23" t="n">
        <f aca="false">'Vendor Cost Comparison'!E16</f>
        <v>0.733599631117057</v>
      </c>
      <c r="F12" s="23" t="n">
        <f aca="false">'Vendor Cost Comparison'!F16</f>
        <v>0.804454255932758</v>
      </c>
    </row>
    <row r="13" customFormat="false" ht="15" hidden="false" customHeight="false" outlineLevel="0" collapsed="false">
      <c r="A13" s="22" t="s">
        <v>42</v>
      </c>
      <c r="B13" s="24" t="n">
        <f aca="false">'Vendor Cost Comparison'!B17</f>
        <v>0</v>
      </c>
      <c r="C13" s="24" t="n">
        <f aca="false">'Vendor Cost Comparison'!C17</f>
        <v>-0.0206231057891702</v>
      </c>
      <c r="D13" s="24" t="n">
        <f aca="false">'Vendor Cost Comparison'!D17</f>
        <v>0.129912496208736</v>
      </c>
      <c r="E13" s="24" t="n">
        <f aca="false">'Vendor Cost Comparison'!E17</f>
        <v>0.266400368882943</v>
      </c>
      <c r="F13" s="24" t="n">
        <f aca="false">'Vendor Cost Comparison'!F17</f>
        <v>0.195545744067242</v>
      </c>
    </row>
    <row r="14" customFormat="false" ht="15" hidden="false" customHeight="false" outlineLevel="0" collapsed="false">
      <c r="A14" s="22" t="s">
        <v>43</v>
      </c>
      <c r="B14" s="25" t="n">
        <f aca="false">'Vendor Cost Comparison'!B23</f>
        <v>4495413.98997425</v>
      </c>
      <c r="C14" s="25" t="n">
        <f aca="false">'Vendor Cost Comparison'!C23</f>
        <v>4588123.3882556</v>
      </c>
      <c r="D14" s="25" t="n">
        <f aca="false">'Vendor Cost Comparison'!D23</f>
        <v>3911403.53704502</v>
      </c>
      <c r="E14" s="25" t="n">
        <f aca="false">'Vendor Cost Comparison'!E23</f>
        <v>3297834.04476356</v>
      </c>
      <c r="F14" s="25" t="n">
        <f aca="false">'Vendor Cost Comparison'!F23</f>
        <v>3616354.91641444</v>
      </c>
    </row>
    <row r="15" customFormat="false" ht="15" hidden="false" customHeight="false" outlineLevel="0" collapsed="false">
      <c r="A15" s="20" t="s">
        <v>44</v>
      </c>
      <c r="B15" s="26" t="n">
        <f aca="false">'Vendor Cost Comparison'!B26</f>
        <v>0</v>
      </c>
      <c r="C15" s="26" t="n">
        <f aca="false">'Vendor Cost Comparison'!C26</f>
        <v>-92709.3982813545</v>
      </c>
      <c r="D15" s="26" t="n">
        <f aca="false">'Vendor Cost Comparison'!D26</f>
        <v>584010.452929229</v>
      </c>
      <c r="E15" s="26" t="n">
        <f aca="false">'Vendor Cost Comparison'!E26</f>
        <v>1197579.94521068</v>
      </c>
      <c r="F15" s="26" t="n">
        <f aca="false">'Vendor Cost Comparison'!F26</f>
        <v>879059.073559806</v>
      </c>
    </row>
    <row r="17" customFormat="false" ht="15" hidden="false" customHeight="false" outlineLevel="0" collapsed="false">
      <c r="A17" s="20" t="s">
        <v>45</v>
      </c>
      <c r="B17" s="27" t="str">
        <f aca="false">'Vendor Cost Comparison'!B28</f>
        <v>Vendor B</v>
      </c>
      <c r="C17" s="27"/>
      <c r="D17" s="27"/>
      <c r="E17" s="27"/>
      <c r="F17" s="27"/>
    </row>
    <row r="19" customFormat="false" ht="19.5" hidden="false" customHeight="true" outlineLevel="0" collapsed="false">
      <c r="A19" s="6" t="s">
        <v>46</v>
      </c>
      <c r="B19" s="6"/>
      <c r="C19" s="6"/>
      <c r="D19" s="6"/>
      <c r="E19" s="6"/>
      <c r="F19" s="6"/>
    </row>
    <row r="20" customFormat="false" ht="27.75" hidden="false" customHeight="true" outlineLevel="0" collapsed="false">
      <c r="A20" s="20" t="s">
        <v>40</v>
      </c>
      <c r="B20" s="21"/>
      <c r="C20" s="21" t="str">
        <f aca="false">'Disruption Analysis'!C7</f>
        <v>Current PPO</v>
      </c>
      <c r="D20" s="21" t="str">
        <f aca="false">'Disruption Analysis'!D7</f>
        <v>PPO — Broad National Network</v>
      </c>
      <c r="E20" s="21" t="str">
        <f aca="false">'Disruption Analysis'!E7</f>
        <v>PPO — Regional Network</v>
      </c>
      <c r="F20" s="21" t="str">
        <f aca="false">'Disruption Analysis'!F7</f>
        <v>PPO — Narrow / High-Performance Network</v>
      </c>
    </row>
    <row r="21" customFormat="false" ht="15" hidden="false" customHeight="false" outlineLevel="0" collapsed="false">
      <c r="A21" s="22" t="s">
        <v>47</v>
      </c>
      <c r="B21" s="28"/>
      <c r="C21" s="28" t="n">
        <f aca="false">'Disruption Analysis'!C8</f>
        <v>0</v>
      </c>
      <c r="D21" s="28" t="n">
        <f aca="false">'Disruption Analysis'!D8</f>
        <v>2</v>
      </c>
      <c r="E21" s="28" t="n">
        <f aca="false">'Disruption Analysis'!E8</f>
        <v>4</v>
      </c>
      <c r="F21" s="28" t="n">
        <f aca="false">'Disruption Analysis'!F8</f>
        <v>3</v>
      </c>
    </row>
    <row r="22" customFormat="false" ht="15" hidden="false" customHeight="false" outlineLevel="0" collapsed="false">
      <c r="A22" s="22" t="s">
        <v>48</v>
      </c>
      <c r="B22" s="28"/>
      <c r="C22" s="28" t="n">
        <f aca="false">'Disruption Analysis'!C9</f>
        <v>0</v>
      </c>
      <c r="D22" s="28" t="n">
        <f aca="false">'Disruption Analysis'!D9</f>
        <v>6</v>
      </c>
      <c r="E22" s="28" t="n">
        <f aca="false">'Disruption Analysis'!E9</f>
        <v>10</v>
      </c>
      <c r="F22" s="28" t="n">
        <f aca="false">'Disruption Analysis'!F9</f>
        <v>5</v>
      </c>
    </row>
    <row r="23" customFormat="false" ht="15" hidden="false" customHeight="false" outlineLevel="0" collapsed="false">
      <c r="A23" s="22" t="s">
        <v>49</v>
      </c>
      <c r="B23" s="29"/>
      <c r="C23" s="29" t="n">
        <f aca="false">'Disruption Analysis'!C10</f>
        <v>0</v>
      </c>
      <c r="D23" s="29" t="n">
        <f aca="false">'Disruption Analysis'!D10</f>
        <v>26588.52</v>
      </c>
      <c r="E23" s="29" t="n">
        <f aca="false">'Disruption Analysis'!E10</f>
        <v>136416.18</v>
      </c>
      <c r="F23" s="29" t="n">
        <f aca="false">'Disruption Analysis'!F10</f>
        <v>8082.2</v>
      </c>
    </row>
    <row r="24" customFormat="false" ht="15" hidden="false" customHeight="false" outlineLevel="0" collapsed="false">
      <c r="A24" s="22" t="s">
        <v>50</v>
      </c>
      <c r="B24" s="24"/>
      <c r="C24" s="24" t="n">
        <f aca="false">'Disruption Analysis'!C11</f>
        <v>0</v>
      </c>
      <c r="D24" s="24" t="n">
        <f aca="false">'Disruption Analysis'!D11</f>
        <v>0.041410742391875</v>
      </c>
      <c r="E24" s="24" t="n">
        <f aca="false">'Disruption Analysis'!E11</f>
        <v>0.212463698169873</v>
      </c>
      <c r="F24" s="24" t="n">
        <f aca="false">'Disruption Analysis'!F11</f>
        <v>0.012587759760965</v>
      </c>
    </row>
    <row r="26" customFormat="false" ht="15" hidden="false" customHeight="false" outlineLevel="0" collapsed="false">
      <c r="A26" s="20" t="s">
        <v>51</v>
      </c>
      <c r="B26" s="27" t="str">
        <f aca="false">'Disruption Analysis'!B13</f>
        <v>Incumbent Renewal</v>
      </c>
      <c r="C26" s="27"/>
      <c r="D26" s="27"/>
      <c r="E26" s="27"/>
      <c r="F26" s="27"/>
    </row>
  </sheetData>
  <mergeCells count="10">
    <mergeCell ref="A1:F1"/>
    <mergeCell ref="A2:F2"/>
    <mergeCell ref="A4:F4"/>
    <mergeCell ref="A5:E5"/>
    <mergeCell ref="A6:E6"/>
    <mergeCell ref="A7:E7"/>
    <mergeCell ref="A9:F9"/>
    <mergeCell ref="B17:F17"/>
    <mergeCell ref="A19:F19"/>
    <mergeCell ref="B26:F26"/>
  </mergeCells>
  <conditionalFormatting sqref="C13:F13">
    <cfRule type="expression" priority="2" aboveAverage="0" equalAverage="0" bottom="0" percent="0" rank="0" text="" dxfId="0">
      <formula>C13=MAX($C13:$F13)</formula>
    </cfRule>
  </conditionalFormatting>
  <conditionalFormatting sqref="C14:F14">
    <cfRule type="expression" priority="3" aboveAverage="0" equalAverage="0" bottom="0" percent="0" rank="0" text="" dxfId="0">
      <formula>C14=MIN($C14:$F14)</formula>
    </cfRule>
  </conditionalFormatting>
  <conditionalFormatting sqref="C24:F24">
    <cfRule type="expression" priority="4" aboveAverage="0" equalAverage="0" bottom="0" percent="0" rank="0" text="" dxfId="0">
      <formula>C24=MIN($C24:$F24)</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52</v>
      </c>
      <c r="B1" s="1"/>
      <c r="C1" s="1"/>
      <c r="D1" s="1"/>
      <c r="E1" s="1"/>
      <c r="F1" s="1"/>
    </row>
    <row r="2" customFormat="false" ht="25.5" hidden="false" customHeight="true" outlineLevel="0" collapsed="false">
      <c r="A2" s="9" t="s">
        <v>53</v>
      </c>
      <c r="B2" s="9"/>
      <c r="C2" s="9"/>
      <c r="D2" s="9"/>
      <c r="E2" s="9"/>
      <c r="F2" s="9"/>
    </row>
    <row r="4" customFormat="false" ht="19.5" hidden="false" customHeight="true" outlineLevel="0" collapsed="false">
      <c r="A4" s="6" t="s">
        <v>54</v>
      </c>
      <c r="B4" s="6"/>
      <c r="C4" s="6"/>
      <c r="D4" s="6"/>
      <c r="E4" s="6"/>
      <c r="F4" s="6"/>
    </row>
    <row r="5" customFormat="false" ht="15" hidden="false" customHeight="false" outlineLevel="0" collapsed="false">
      <c r="A5" s="10" t="s">
        <v>55</v>
      </c>
      <c r="B5" s="10"/>
      <c r="C5" s="10"/>
      <c r="D5" s="10"/>
      <c r="E5" s="10"/>
      <c r="F5" s="11" t="n">
        <f aca="false">SUM('Claims Experience'!B18:B29)</f>
        <v>6161</v>
      </c>
    </row>
    <row r="6" customFormat="false" ht="15" hidden="false" customHeight="false" outlineLevel="0" collapsed="false">
      <c r="A6" s="10" t="s">
        <v>56</v>
      </c>
      <c r="B6" s="10"/>
      <c r="C6" s="10"/>
      <c r="D6" s="10"/>
      <c r="E6" s="10"/>
      <c r="F6" s="30" t="n">
        <f aca="false">SUM('Claims Experience'!E18:E29)</f>
        <v>3884333.08</v>
      </c>
    </row>
    <row r="7" customFormat="false" ht="15" hidden="false" customHeight="false" outlineLevel="0" collapsed="false">
      <c r="A7" s="10" t="s">
        <v>57</v>
      </c>
      <c r="B7" s="10"/>
      <c r="C7" s="10"/>
      <c r="D7" s="10"/>
      <c r="E7" s="10"/>
      <c r="F7" s="12" t="n">
        <f aca="false">IFERROR(F6/F5,0)</f>
        <v>630.47120272683</v>
      </c>
    </row>
    <row r="8" customFormat="false" ht="15" hidden="false" customHeight="false" outlineLevel="0" collapsed="false">
      <c r="A8" s="10" t="s">
        <v>58</v>
      </c>
      <c r="B8" s="10"/>
      <c r="C8" s="10"/>
      <c r="D8" s="10"/>
      <c r="E8" s="10"/>
      <c r="F8" s="30" t="n">
        <f aca="false">-'Claims Experience'!F37</f>
        <v>-280500</v>
      </c>
    </row>
    <row r="9" customFormat="false" ht="15" hidden="false" customHeight="false" outlineLevel="0" collapsed="false">
      <c r="A9" s="10" t="s">
        <v>59</v>
      </c>
      <c r="B9" s="10"/>
      <c r="C9" s="10"/>
      <c r="D9" s="10"/>
      <c r="E9" s="10"/>
      <c r="F9" s="30" t="n">
        <f aca="false">F6+F8</f>
        <v>3603833.08</v>
      </c>
    </row>
    <row r="10" customFormat="false" ht="15" hidden="false" customHeight="false" outlineLevel="0" collapsed="false">
      <c r="A10" s="10" t="s">
        <v>60</v>
      </c>
      <c r="B10" s="10"/>
      <c r="C10" s="10"/>
      <c r="D10" s="10"/>
      <c r="E10" s="10"/>
      <c r="F10" s="31" t="n">
        <v>40</v>
      </c>
    </row>
    <row r="11" customFormat="false" ht="15" hidden="false" customHeight="false" outlineLevel="0" collapsed="false">
      <c r="A11" s="10" t="s">
        <v>61</v>
      </c>
      <c r="B11" s="10"/>
      <c r="C11" s="10"/>
      <c r="D11" s="10"/>
      <c r="E11" s="10"/>
      <c r="F11" s="30" t="n">
        <f aca="false">F10*F5</f>
        <v>246440</v>
      </c>
    </row>
    <row r="12" customFormat="false" ht="15" hidden="false" customHeight="false" outlineLevel="0" collapsed="false">
      <c r="A12" s="10" t="s">
        <v>62</v>
      </c>
      <c r="B12" s="10"/>
      <c r="C12" s="10"/>
      <c r="D12" s="10"/>
      <c r="E12" s="10"/>
      <c r="F12" s="30" t="n">
        <f aca="false">F9+F11</f>
        <v>3850273.08</v>
      </c>
    </row>
    <row r="13" customFormat="false" ht="15" hidden="false" customHeight="false" outlineLevel="0" collapsed="false">
      <c r="A13" s="10" t="s">
        <v>63</v>
      </c>
      <c r="B13" s="10"/>
      <c r="C13" s="10"/>
      <c r="D13" s="10"/>
      <c r="E13" s="10"/>
      <c r="F13" s="12" t="n">
        <f aca="false">IFERROR(F12/F5,0)</f>
        <v>624.942879402694</v>
      </c>
    </row>
    <row r="14" customFormat="false" ht="15" hidden="false" customHeight="false" outlineLevel="0" collapsed="false">
      <c r="A14" s="10" t="s">
        <v>64</v>
      </c>
      <c r="B14" s="10"/>
      <c r="C14" s="10"/>
      <c r="D14" s="10"/>
      <c r="E14" s="10"/>
      <c r="F14" s="32" t="n">
        <v>1.02</v>
      </c>
    </row>
    <row r="15" customFormat="false" ht="15" hidden="false" customHeight="false" outlineLevel="0" collapsed="false">
      <c r="A15" s="10" t="s">
        <v>65</v>
      </c>
      <c r="B15" s="10"/>
      <c r="C15" s="10"/>
      <c r="D15" s="10"/>
      <c r="E15" s="10"/>
      <c r="F15" s="12" t="n">
        <f aca="false">F13*F14</f>
        <v>637.441736990748</v>
      </c>
    </row>
    <row r="16" customFormat="false" ht="15" hidden="false" customHeight="false" outlineLevel="0" collapsed="false">
      <c r="A16" s="10" t="s">
        <v>66</v>
      </c>
      <c r="B16" s="10"/>
      <c r="C16" s="10"/>
      <c r="D16" s="10"/>
      <c r="E16" s="10"/>
      <c r="F16" s="33" t="n">
        <v>0.085</v>
      </c>
    </row>
    <row r="17" customFormat="false" ht="15" hidden="false" customHeight="false" outlineLevel="0" collapsed="false">
      <c r="A17" s="10" t="s">
        <v>67</v>
      </c>
      <c r="B17" s="10"/>
      <c r="C17" s="10"/>
      <c r="D17" s="10"/>
      <c r="E17" s="10"/>
      <c r="F17" s="34" t="n">
        <v>18</v>
      </c>
    </row>
    <row r="18" customFormat="false" ht="15" hidden="false" customHeight="false" outlineLevel="0" collapsed="false">
      <c r="A18" s="10" t="s">
        <v>68</v>
      </c>
      <c r="B18" s="10"/>
      <c r="C18" s="10"/>
      <c r="D18" s="10"/>
      <c r="E18" s="10"/>
      <c r="F18" s="35" t="n">
        <f aca="false">(1+F16)^(F17/12)</f>
        <v>1.13017216608798</v>
      </c>
    </row>
    <row r="19" customFormat="false" ht="15" hidden="false" customHeight="false" outlineLevel="0" collapsed="false">
      <c r="A19" s="10" t="s">
        <v>34</v>
      </c>
      <c r="B19" s="10"/>
      <c r="C19" s="10"/>
      <c r="D19" s="10"/>
      <c r="E19" s="10"/>
      <c r="F19" s="12" t="n">
        <f aca="false">F15*F18</f>
        <v>720.418908649719</v>
      </c>
    </row>
    <row r="20" customFormat="false" ht="15" hidden="false" customHeight="false" outlineLevel="0" collapsed="false">
      <c r="A20" s="10" t="s">
        <v>69</v>
      </c>
      <c r="B20" s="10"/>
      <c r="C20" s="10"/>
      <c r="D20" s="10"/>
      <c r="E20" s="10"/>
      <c r="F20" s="11" t="n">
        <f aca="false">'Claims Experience'!B29</f>
        <v>520</v>
      </c>
    </row>
    <row r="21" customFormat="false" ht="15" hidden="false" customHeight="false" outlineLevel="0" collapsed="false">
      <c r="A21" s="13" t="s">
        <v>35</v>
      </c>
      <c r="B21" s="13"/>
      <c r="C21" s="13"/>
      <c r="D21" s="13"/>
      <c r="E21" s="13"/>
      <c r="F21" s="14" t="n">
        <f aca="false">F19*12*F20</f>
        <v>4495413.98997425</v>
      </c>
    </row>
  </sheetData>
  <mergeCells count="20">
    <mergeCell ref="A1:F1"/>
    <mergeCell ref="A2:F2"/>
    <mergeCell ref="A4:F4"/>
    <mergeCell ref="A5:E5"/>
    <mergeCell ref="A6:E6"/>
    <mergeCell ref="A7:E7"/>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70</v>
      </c>
      <c r="B1" s="1"/>
      <c r="C1" s="1"/>
      <c r="D1" s="1"/>
      <c r="E1" s="1"/>
      <c r="F1" s="1"/>
    </row>
    <row r="2" customFormat="false" ht="25.5" hidden="false" customHeight="true" outlineLevel="0" collapsed="false">
      <c r="A2" s="9" t="s">
        <v>71</v>
      </c>
      <c r="B2" s="9"/>
      <c r="C2" s="9"/>
      <c r="D2" s="9"/>
      <c r="E2" s="9"/>
      <c r="F2" s="9"/>
    </row>
    <row r="4" customFormat="false" ht="19.5" hidden="false" customHeight="true" outlineLevel="0" collapsed="false">
      <c r="A4" s="6" t="s">
        <v>72</v>
      </c>
      <c r="B4" s="6"/>
      <c r="C4" s="6"/>
      <c r="D4" s="6"/>
      <c r="E4" s="6"/>
      <c r="F4" s="6"/>
    </row>
    <row r="5" customFormat="false" ht="15" hidden="false" customHeight="false" outlineLevel="0" collapsed="false">
      <c r="A5" s="10" t="s">
        <v>73</v>
      </c>
      <c r="B5" s="10"/>
      <c r="C5" s="10"/>
      <c r="D5" s="10"/>
      <c r="E5" s="10"/>
      <c r="F5" s="33" t="n">
        <v>0.24</v>
      </c>
    </row>
    <row r="6" customFormat="false" ht="15" hidden="false" customHeight="false" outlineLevel="0" collapsed="false">
      <c r="A6" s="10" t="s">
        <v>74</v>
      </c>
      <c r="B6" s="10"/>
      <c r="C6" s="10"/>
      <c r="D6" s="10"/>
      <c r="E6" s="10"/>
      <c r="F6" s="33" t="n">
        <v>0.34</v>
      </c>
    </row>
    <row r="7" customFormat="false" ht="15" hidden="false" customHeight="false" outlineLevel="0" collapsed="false">
      <c r="A7" s="10" t="s">
        <v>75</v>
      </c>
      <c r="B7" s="10"/>
      <c r="C7" s="10"/>
      <c r="D7" s="10"/>
      <c r="E7" s="10"/>
      <c r="F7" s="33" t="n">
        <v>0.28</v>
      </c>
    </row>
    <row r="8" customFormat="false" ht="15" hidden="false" customHeight="false" outlineLevel="0" collapsed="false">
      <c r="A8" s="10" t="s">
        <v>76</v>
      </c>
      <c r="B8" s="10"/>
      <c r="C8" s="10"/>
      <c r="D8" s="10"/>
      <c r="E8" s="10"/>
      <c r="F8" s="33" t="n">
        <v>0.14</v>
      </c>
    </row>
    <row r="9" customFormat="false" ht="15" hidden="false" customHeight="false" outlineLevel="0" collapsed="false">
      <c r="A9" s="10" t="s">
        <v>77</v>
      </c>
      <c r="B9" s="10"/>
      <c r="C9" s="10"/>
      <c r="D9" s="10"/>
      <c r="E9" s="10"/>
      <c r="F9" s="36" t="n">
        <f aca="false">SUM(F5:F8)</f>
        <v>1</v>
      </c>
    </row>
    <row r="11" customFormat="false" ht="19.5" hidden="false" customHeight="true" outlineLevel="0" collapsed="false">
      <c r="A11" s="6" t="s">
        <v>78</v>
      </c>
      <c r="B11" s="6"/>
      <c r="C11" s="6"/>
      <c r="D11" s="6"/>
      <c r="E11" s="6"/>
      <c r="F11" s="6"/>
    </row>
    <row r="12" customFormat="false" ht="30" hidden="false" customHeight="true" outlineLevel="0" collapsed="false">
      <c r="A12" s="9" t="s">
        <v>79</v>
      </c>
      <c r="B12" s="9"/>
      <c r="C12" s="9"/>
      <c r="D12" s="9"/>
      <c r="E12" s="9"/>
      <c r="F12" s="9"/>
    </row>
    <row r="14" customFormat="false" ht="31.5" hidden="false" customHeight="true" outlineLevel="0" collapsed="false">
      <c r="A14" s="15" t="s">
        <v>80</v>
      </c>
      <c r="B14" s="15" t="s">
        <v>38</v>
      </c>
      <c r="C14" s="16" t="s">
        <v>39</v>
      </c>
      <c r="D14" s="17" t="s">
        <v>16</v>
      </c>
      <c r="E14" s="18" t="s">
        <v>18</v>
      </c>
      <c r="F14" s="19" t="s">
        <v>20</v>
      </c>
    </row>
    <row r="15" customFormat="false" ht="27.75" hidden="false" customHeight="true" outlineLevel="0" collapsed="false">
      <c r="A15" s="20" t="s">
        <v>40</v>
      </c>
      <c r="B15" s="21"/>
      <c r="C15" s="21" t="s">
        <v>81</v>
      </c>
      <c r="D15" s="21" t="s">
        <v>82</v>
      </c>
      <c r="E15" s="21" t="s">
        <v>83</v>
      </c>
      <c r="F15" s="21" t="s">
        <v>84</v>
      </c>
    </row>
    <row r="16" customFormat="false" ht="15" hidden="false" customHeight="false" outlineLevel="0" collapsed="false">
      <c r="A16" s="22" t="s">
        <v>41</v>
      </c>
      <c r="B16" s="23" t="n">
        <v>1</v>
      </c>
      <c r="C16" s="23" t="n">
        <f aca="false">IFERROR(SUM('Claims Detail'!$J:$J)/SUM('Claims Detail'!$I:$I),1)</f>
        <v>1.02062310578917</v>
      </c>
      <c r="D16" s="23" t="n">
        <f aca="false">IFERROR(SUM('Claims Detail'!$M:$M)/SUM('Claims Detail'!$I:$I),1)</f>
        <v>0.870087503791264</v>
      </c>
      <c r="E16" s="23" t="n">
        <f aca="false">IFERROR(SUM('Claims Detail'!$P:$P)/SUM('Claims Detail'!$I:$I),1)</f>
        <v>0.733599631117057</v>
      </c>
      <c r="F16" s="23" t="n">
        <f aca="false">IFERROR(SUM('Claims Detail'!$S:$S)/SUM('Claims Detail'!$I:$I),1)</f>
        <v>0.804454255932758</v>
      </c>
    </row>
    <row r="17" customFormat="false" ht="15" hidden="false" customHeight="false" outlineLevel="0" collapsed="false">
      <c r="A17" s="22" t="s">
        <v>42</v>
      </c>
      <c r="B17" s="24" t="n">
        <v>0</v>
      </c>
      <c r="C17" s="24" t="n">
        <f aca="false">1-C16</f>
        <v>-0.0206231057891702</v>
      </c>
      <c r="D17" s="24" t="n">
        <f aca="false">1-D16</f>
        <v>0.129912496208736</v>
      </c>
      <c r="E17" s="24" t="n">
        <f aca="false">1-E16</f>
        <v>0.266400368882943</v>
      </c>
      <c r="F17" s="24" t="n">
        <f aca="false">1-F16</f>
        <v>0.195545744067242</v>
      </c>
    </row>
    <row r="18" customFormat="false" ht="19.5" hidden="false" customHeight="true" outlineLevel="0" collapsed="false">
      <c r="A18" s="6" t="s">
        <v>85</v>
      </c>
      <c r="B18" s="6"/>
      <c r="C18" s="6"/>
      <c r="D18" s="6"/>
      <c r="E18" s="6"/>
      <c r="F18" s="6"/>
    </row>
    <row r="19" customFormat="false" ht="15" hidden="false" customHeight="false" outlineLevel="0" collapsed="false">
      <c r="A19" s="37" t="s">
        <v>86</v>
      </c>
      <c r="B19" s="26" t="n">
        <f aca="false">Underwriting!$F$21*$F$5</f>
        <v>1078899.35759382</v>
      </c>
      <c r="C19" s="26" t="n">
        <f aca="false">$B19*C$16</f>
        <v>1101149.61318134</v>
      </c>
      <c r="D19" s="26" t="n">
        <f aca="false">$B19*D$16</f>
        <v>938736.848890805</v>
      </c>
      <c r="E19" s="26" t="n">
        <f aca="false">$B19*E$16</f>
        <v>791480.170743255</v>
      </c>
      <c r="F19" s="26" t="n">
        <f aca="false">$B19*F$16</f>
        <v>867925.179939466</v>
      </c>
    </row>
    <row r="20" customFormat="false" ht="15" hidden="false" customHeight="false" outlineLevel="0" collapsed="false">
      <c r="A20" s="37" t="s">
        <v>87</v>
      </c>
      <c r="B20" s="26" t="n">
        <f aca="false">Underwriting!$F$21*$F$6</f>
        <v>1528440.75659124</v>
      </c>
      <c r="C20" s="26" t="n">
        <f aca="false">$B20*C$16</f>
        <v>1559961.95200691</v>
      </c>
      <c r="D20" s="26" t="n">
        <f aca="false">$B20*D$16</f>
        <v>1329877.20259531</v>
      </c>
      <c r="E20" s="26" t="n">
        <f aca="false">$B20*E$16</f>
        <v>1121263.57521961</v>
      </c>
      <c r="F20" s="26" t="n">
        <f aca="false">$B20*F$16</f>
        <v>1229560.67158091</v>
      </c>
    </row>
    <row r="21" customFormat="false" ht="15" hidden="false" customHeight="false" outlineLevel="0" collapsed="false">
      <c r="A21" s="37" t="s">
        <v>88</v>
      </c>
      <c r="B21" s="26" t="n">
        <f aca="false">Underwriting!$F$21*$F$7</f>
        <v>1258715.91719279</v>
      </c>
      <c r="C21" s="26" t="n">
        <f aca="false">$B21*C$16</f>
        <v>1284674.54871157</v>
      </c>
      <c r="D21" s="26" t="n">
        <f aca="false">$B21*D$16</f>
        <v>1095192.99037261</v>
      </c>
      <c r="E21" s="26" t="n">
        <f aca="false">$B21*E$16</f>
        <v>923393.532533798</v>
      </c>
      <c r="F21" s="26" t="n">
        <f aca="false">$B21*F$16</f>
        <v>1012579.37659604</v>
      </c>
    </row>
    <row r="22" customFormat="false" ht="15" hidden="false" customHeight="false" outlineLevel="0" collapsed="false">
      <c r="A22" s="37" t="s">
        <v>89</v>
      </c>
      <c r="B22" s="26" t="n">
        <f aca="false">Underwriting!$F$21*$F$8</f>
        <v>629357.958596395</v>
      </c>
      <c r="C22" s="26" t="n">
        <f aca="false">$B22*C$16</f>
        <v>642337.274355785</v>
      </c>
      <c r="D22" s="26" t="n">
        <f aca="false">$B22*D$16</f>
        <v>547596.495186303</v>
      </c>
      <c r="E22" s="26" t="n">
        <f aca="false">$B22*E$16</f>
        <v>461696.766266899</v>
      </c>
      <c r="F22" s="26" t="n">
        <f aca="false">$B22*F$16</f>
        <v>506289.688298022</v>
      </c>
    </row>
    <row r="23" customFormat="false" ht="15" hidden="false" customHeight="false" outlineLevel="0" collapsed="false">
      <c r="A23" s="22" t="s">
        <v>90</v>
      </c>
      <c r="B23" s="25" t="n">
        <f aca="false">SUM(B19:B22)</f>
        <v>4495413.98997425</v>
      </c>
      <c r="C23" s="25" t="n">
        <f aca="false">SUM(C19:C22)</f>
        <v>4588123.3882556</v>
      </c>
      <c r="D23" s="25" t="n">
        <f aca="false">SUM(D19:D22)</f>
        <v>3911403.53704502</v>
      </c>
      <c r="E23" s="25" t="n">
        <f aca="false">SUM(E19:E22)</f>
        <v>3297834.04476356</v>
      </c>
      <c r="F23" s="25" t="n">
        <f aca="false">SUM(F19:F22)</f>
        <v>3616354.91641444</v>
      </c>
    </row>
    <row r="24" customFormat="false" ht="15" hidden="false" customHeight="false" outlineLevel="0" collapsed="false">
      <c r="A24" s="2" t="s">
        <v>91</v>
      </c>
      <c r="B24" s="2"/>
      <c r="C24" s="2"/>
      <c r="D24" s="2"/>
      <c r="E24" s="2"/>
      <c r="F24" s="2"/>
    </row>
    <row r="26" customFormat="false" ht="15" hidden="false" customHeight="false" outlineLevel="0" collapsed="false">
      <c r="A26" s="20" t="s">
        <v>44</v>
      </c>
      <c r="B26" s="26" t="n">
        <v>0</v>
      </c>
      <c r="C26" s="26" t="n">
        <f aca="false">$B$23-C23</f>
        <v>-92709.3982813545</v>
      </c>
      <c r="D26" s="26" t="n">
        <f aca="false">$B$23-D23</f>
        <v>584010.452929229</v>
      </c>
      <c r="E26" s="26" t="n">
        <f aca="false">$B$23-E23</f>
        <v>1197579.94521068</v>
      </c>
      <c r="F26" s="26" t="n">
        <f aca="false">$B$23-F23</f>
        <v>879059.073559806</v>
      </c>
    </row>
    <row r="28" customFormat="false" ht="15" hidden="false" customHeight="false" outlineLevel="0" collapsed="false">
      <c r="A28" s="20" t="s">
        <v>45</v>
      </c>
      <c r="B28" s="27" t="str">
        <f aca="false">IF(AND(C17&gt;=D17,C17&gt;=E17,C17&gt;=F17),"Incumbent Renewal",IF(AND(D17&gt;=C17,D17&gt;=E17,D17&gt;=F17),"Vendor A",IF(AND(E17&gt;=C17,E17&gt;=D17,E17&gt;=F17),"Vendor B","Vendor C")))</f>
        <v>Vendor B</v>
      </c>
      <c r="C28" s="27"/>
      <c r="D28" s="27"/>
      <c r="E28" s="27"/>
      <c r="F28" s="27"/>
    </row>
  </sheetData>
  <mergeCells count="13">
    <mergeCell ref="A1:F1"/>
    <mergeCell ref="A2:F2"/>
    <mergeCell ref="A4:F4"/>
    <mergeCell ref="A5:E5"/>
    <mergeCell ref="A6:E6"/>
    <mergeCell ref="A7:E7"/>
    <mergeCell ref="A8:E8"/>
    <mergeCell ref="A9:E9"/>
    <mergeCell ref="A11:F11"/>
    <mergeCell ref="A12:F12"/>
    <mergeCell ref="A18:F18"/>
    <mergeCell ref="A24:F24"/>
    <mergeCell ref="B28:F28"/>
  </mergeCells>
  <conditionalFormatting sqref="F9">
    <cfRule type="expression" priority="2" aboveAverage="0" equalAverage="0" bottom="0" percent="0" rank="0" text="" dxfId="1">
      <formula>ABS(F9-1)&gt;0.001</formula>
    </cfRule>
  </conditionalFormatting>
  <conditionalFormatting sqref="C17:F17">
    <cfRule type="expression" priority="3" aboveAverage="0" equalAverage="0" bottom="0" percent="0" rank="0" text="" dxfId="0">
      <formula>C17=MAX($C17:$F17)</formula>
    </cfRule>
  </conditionalFormatting>
  <conditionalFormatting sqref="C23:F23">
    <cfRule type="expression" priority="4" aboveAverage="0" equalAverage="0" bottom="0" percent="0" rank="0" text="" dxfId="0">
      <formula>C23=MIN($C23:$F23)</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92</v>
      </c>
      <c r="B1" s="1"/>
      <c r="C1" s="1"/>
      <c r="D1" s="1"/>
      <c r="E1" s="1"/>
      <c r="F1" s="1"/>
    </row>
    <row r="2" customFormat="false" ht="25.5" hidden="false" customHeight="true" outlineLevel="0" collapsed="false">
      <c r="A2" s="9" t="s">
        <v>93</v>
      </c>
      <c r="B2" s="9"/>
      <c r="C2" s="9"/>
      <c r="D2" s="9"/>
      <c r="E2" s="9"/>
      <c r="F2" s="9"/>
    </row>
    <row r="4" customFormat="false" ht="19.5" hidden="false" customHeight="true" outlineLevel="0" collapsed="false">
      <c r="A4" s="6" t="s">
        <v>94</v>
      </c>
      <c r="B4" s="6"/>
      <c r="C4" s="6"/>
      <c r="D4" s="6"/>
      <c r="E4" s="6"/>
      <c r="F4" s="6"/>
    </row>
    <row r="5" customFormat="false" ht="30" hidden="false" customHeight="true" outlineLevel="0" collapsed="false">
      <c r="A5" s="9" t="s">
        <v>95</v>
      </c>
      <c r="B5" s="9"/>
      <c r="C5" s="9"/>
      <c r="D5" s="9"/>
      <c r="E5" s="9"/>
      <c r="F5" s="9"/>
    </row>
    <row r="7" customFormat="false" ht="27.75" hidden="false" customHeight="true" outlineLevel="0" collapsed="false">
      <c r="A7" s="20" t="s">
        <v>40</v>
      </c>
      <c r="B7" s="21"/>
      <c r="C7" s="21" t="s">
        <v>81</v>
      </c>
      <c r="D7" s="21" t="s">
        <v>82</v>
      </c>
      <c r="E7" s="21" t="s">
        <v>83</v>
      </c>
      <c r="F7" s="21" t="s">
        <v>84</v>
      </c>
    </row>
    <row r="8" customFormat="false" ht="15" hidden="false" customHeight="false" outlineLevel="0" collapsed="false">
      <c r="A8" s="22" t="s">
        <v>47</v>
      </c>
      <c r="B8" s="28"/>
      <c r="C8" s="28" t="n">
        <v>0</v>
      </c>
      <c r="D8" s="28" t="n">
        <f aca="false">'Network Disruption'!B41</f>
        <v>2</v>
      </c>
      <c r="E8" s="28" t="n">
        <f aca="false">'Network Disruption'!C41</f>
        <v>4</v>
      </c>
      <c r="F8" s="28" t="n">
        <f aca="false">'Network Disruption'!D41</f>
        <v>3</v>
      </c>
    </row>
    <row r="9" customFormat="false" ht="15" hidden="false" customHeight="false" outlineLevel="0" collapsed="false">
      <c r="A9" s="22" t="s">
        <v>48</v>
      </c>
      <c r="B9" s="28"/>
      <c r="C9" s="28" t="n">
        <v>0</v>
      </c>
      <c r="D9" s="28" t="n">
        <f aca="false">'Network Disruption'!B49</f>
        <v>6</v>
      </c>
      <c r="E9" s="28" t="n">
        <f aca="false">'Network Disruption'!C49</f>
        <v>10</v>
      </c>
      <c r="F9" s="28" t="n">
        <f aca="false">'Network Disruption'!D49</f>
        <v>5</v>
      </c>
    </row>
    <row r="10" customFormat="false" ht="15" hidden="false" customHeight="false" outlineLevel="0" collapsed="false">
      <c r="A10" s="22" t="s">
        <v>49</v>
      </c>
      <c r="B10" s="29"/>
      <c r="C10" s="29" t="n">
        <v>0</v>
      </c>
      <c r="D10" s="29" t="n">
        <f aca="false">'Network Disruption'!B57</f>
        <v>26588.52</v>
      </c>
      <c r="E10" s="29" t="n">
        <f aca="false">'Network Disruption'!C57</f>
        <v>136416.18</v>
      </c>
      <c r="F10" s="29" t="n">
        <f aca="false">'Network Disruption'!D57</f>
        <v>8082.2</v>
      </c>
    </row>
    <row r="11" customFormat="false" ht="15" hidden="false" customHeight="false" outlineLevel="0" collapsed="false">
      <c r="A11" s="22" t="s">
        <v>50</v>
      </c>
      <c r="B11" s="24"/>
      <c r="C11" s="24" t="n">
        <v>0</v>
      </c>
      <c r="D11" s="24" t="n">
        <f aca="false">'Network Disruption'!B65</f>
        <v>0.041410742391875</v>
      </c>
      <c r="E11" s="24" t="n">
        <f aca="false">'Network Disruption'!C65</f>
        <v>0.212463698169873</v>
      </c>
      <c r="F11" s="24" t="n">
        <f aca="false">'Network Disruption'!D65</f>
        <v>0.012587759760965</v>
      </c>
    </row>
    <row r="13" customFormat="false" ht="15" hidden="false" customHeight="false" outlineLevel="0" collapsed="false">
      <c r="A13" s="20" t="s">
        <v>51</v>
      </c>
      <c r="B13" s="27" t="str">
        <f aca="false">IF(AND(C11&lt;=D11,C11&lt;=E11,C11&lt;=F11),"Incumbent Renewal",IF(AND(D11&lt;=C11,D11&lt;=E11,D11&lt;=F11),"Vendor A",IF(AND(E11&lt;=C11,E11&lt;=D11,E11&lt;=F11),"Vendor B","Vendor C")))</f>
        <v>Incumbent Renewal</v>
      </c>
      <c r="C13" s="27"/>
      <c r="D13" s="27"/>
      <c r="E13" s="27"/>
      <c r="F13" s="27"/>
    </row>
  </sheetData>
  <mergeCells count="5">
    <mergeCell ref="A1:F1"/>
    <mergeCell ref="A2:F2"/>
    <mergeCell ref="A4:F4"/>
    <mergeCell ref="A5:F5"/>
    <mergeCell ref="B13:F13"/>
  </mergeCells>
  <conditionalFormatting sqref="C11:F11">
    <cfRule type="expression" priority="2" aboveAverage="0" equalAverage="0" bottom="0" percent="0" rank="0" text="" dxfId="0">
      <formula>C11=MIN($C11:$F11)</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2" min="1" style="0" width="11"/>
    <col collapsed="false" customWidth="true" hidden="false" outlineLevel="0" max="3" min="3" style="0" width="14"/>
    <col collapsed="false" customWidth="true" hidden="false" outlineLevel="0" max="4" min="4" style="0" width="24"/>
    <col collapsed="false" customWidth="true" hidden="false" outlineLevel="0" max="5" min="5" style="0" width="16"/>
    <col collapsed="false" customWidth="true" hidden="false" outlineLevel="0" max="6" min="6" style="0" width="26"/>
    <col collapsed="false" customWidth="true" hidden="false" outlineLevel="0" max="7" min="7" style="0" width="12"/>
    <col collapsed="false" customWidth="true" hidden="false" outlineLevel="0" max="8" min="8" style="0" width="13"/>
    <col collapsed="false" customWidth="true" hidden="false" outlineLevel="0" max="10" min="9" style="0" width="15"/>
    <col collapsed="false" customWidth="true" hidden="false" outlineLevel="0" max="11" min="11" style="0" width="12"/>
    <col collapsed="false" customWidth="true" hidden="false" outlineLevel="0" max="12" min="12" style="0" width="11"/>
    <col collapsed="false" customWidth="true" hidden="false" outlineLevel="0" max="13" min="13" style="0" width="15"/>
    <col collapsed="false" customWidth="true" hidden="false" outlineLevel="0" max="14" min="14" style="0" width="12"/>
    <col collapsed="false" customWidth="true" hidden="false" outlineLevel="0" max="15" min="15" style="0" width="11"/>
    <col collapsed="false" customWidth="true" hidden="false" outlineLevel="0" max="16" min="16" style="0" width="15"/>
    <col collapsed="false" customWidth="true" hidden="false" outlineLevel="0" max="17" min="17" style="0" width="12"/>
    <col collapsed="false" customWidth="true" hidden="false" outlineLevel="0" max="18" min="18" style="0" width="11"/>
    <col collapsed="false" customWidth="true" hidden="false" outlineLevel="0" max="19" min="19" style="0" width="15"/>
    <col collapsed="false" customWidth="true" hidden="false" outlineLevel="0" max="20" min="20" style="0" width="12"/>
    <col collapsed="false" customWidth="true" hidden="false" outlineLevel="0" max="21" min="21" style="0" width="11"/>
    <col collapsed="false" customWidth="true" hidden="false" outlineLevel="0" max="24" min="22" style="0" width="12"/>
  </cols>
  <sheetData>
    <row r="1" customFormat="false" ht="21.75" hidden="false" customHeight="true" outlineLevel="0" collapsed="false">
      <c r="A1" s="1" t="s">
        <v>96</v>
      </c>
      <c r="B1" s="1"/>
      <c r="C1" s="1"/>
      <c r="D1" s="1"/>
      <c r="E1" s="1"/>
      <c r="F1" s="1"/>
      <c r="G1" s="1"/>
      <c r="H1" s="1"/>
      <c r="I1" s="1"/>
      <c r="J1" s="1"/>
      <c r="K1" s="1"/>
      <c r="L1" s="1"/>
      <c r="M1" s="1"/>
      <c r="N1" s="1"/>
      <c r="O1" s="1"/>
      <c r="P1" s="1"/>
      <c r="Q1" s="1"/>
      <c r="R1" s="1"/>
      <c r="S1" s="1"/>
      <c r="T1" s="1"/>
      <c r="U1" s="1"/>
      <c r="V1" s="1"/>
      <c r="W1" s="1"/>
      <c r="X1" s="1"/>
    </row>
    <row r="2" customFormat="false" ht="31.5" hidden="false" customHeight="true" outlineLevel="0" collapsed="false">
      <c r="A2" s="15" t="s">
        <v>97</v>
      </c>
      <c r="B2" s="15" t="s">
        <v>98</v>
      </c>
      <c r="C2" s="15" t="s">
        <v>80</v>
      </c>
      <c r="D2" s="15" t="s">
        <v>99</v>
      </c>
      <c r="E2" s="15" t="s">
        <v>100</v>
      </c>
      <c r="F2" s="15" t="s">
        <v>101</v>
      </c>
      <c r="G2" s="15" t="s">
        <v>102</v>
      </c>
      <c r="H2" s="15" t="s">
        <v>103</v>
      </c>
      <c r="I2" s="15" t="s">
        <v>104</v>
      </c>
      <c r="J2" s="16" t="s">
        <v>105</v>
      </c>
      <c r="K2" s="16" t="s">
        <v>106</v>
      </c>
      <c r="L2" s="16" t="s">
        <v>107</v>
      </c>
      <c r="M2" s="17" t="s">
        <v>108</v>
      </c>
      <c r="N2" s="17" t="s">
        <v>109</v>
      </c>
      <c r="O2" s="17" t="s">
        <v>110</v>
      </c>
      <c r="P2" s="18" t="s">
        <v>111</v>
      </c>
      <c r="Q2" s="18" t="s">
        <v>112</v>
      </c>
      <c r="R2" s="18" t="s">
        <v>113</v>
      </c>
      <c r="S2" s="19" t="s">
        <v>114</v>
      </c>
      <c r="T2" s="19" t="s">
        <v>115</v>
      </c>
      <c r="U2" s="19" t="s">
        <v>116</v>
      </c>
      <c r="V2" s="17" t="s">
        <v>117</v>
      </c>
      <c r="W2" s="18" t="s">
        <v>118</v>
      </c>
      <c r="X2" s="19" t="s">
        <v>119</v>
      </c>
    </row>
    <row r="3" customFormat="false" ht="15" hidden="false" customHeight="false" outlineLevel="0" collapsed="false">
      <c r="A3" s="37" t="s">
        <v>120</v>
      </c>
      <c r="B3" s="37" t="s">
        <v>121</v>
      </c>
      <c r="C3" s="37" t="s">
        <v>86</v>
      </c>
      <c r="D3" s="37" t="s">
        <v>122</v>
      </c>
      <c r="E3" s="37" t="s">
        <v>123</v>
      </c>
      <c r="F3" s="37" t="s">
        <v>124</v>
      </c>
      <c r="G3" s="38" t="n">
        <v>45874</v>
      </c>
      <c r="H3" s="26" t="n">
        <v>159989.11</v>
      </c>
      <c r="I3" s="26" t="n">
        <v>63424.99</v>
      </c>
      <c r="J3" s="26" t="n">
        <v>63960.98</v>
      </c>
      <c r="K3" s="26" t="n">
        <f aca="false">I3-J3</f>
        <v>-535.990000000005</v>
      </c>
      <c r="L3" s="39" t="n">
        <f aca="false">IFERROR(K3/I3,0)</f>
        <v>-0.00845076995676318</v>
      </c>
      <c r="M3" s="26" t="n">
        <v>52375.88</v>
      </c>
      <c r="N3" s="26" t="n">
        <f aca="false">I3-M3</f>
        <v>11049.11</v>
      </c>
      <c r="O3" s="39" t="n">
        <f aca="false">IFERROR(N3/I3,0)</f>
        <v>0.174207516627121</v>
      </c>
      <c r="P3" s="26" t="n">
        <v>48465.65</v>
      </c>
      <c r="Q3" s="26" t="n">
        <f aca="false">I3-P3</f>
        <v>14959.34</v>
      </c>
      <c r="R3" s="39" t="n">
        <f aca="false">IFERROR(Q3/I3,0)</f>
        <v>0.235858767971426</v>
      </c>
      <c r="S3" s="26" t="n">
        <v>54175.37</v>
      </c>
      <c r="T3" s="26" t="n">
        <f aca="false">I3-S3</f>
        <v>9249.62</v>
      </c>
      <c r="U3" s="39" t="n">
        <f aca="false">IFERROR(T3/I3,0)</f>
        <v>0.145835576797095</v>
      </c>
      <c r="V3" s="40" t="s">
        <v>125</v>
      </c>
      <c r="W3" s="40" t="s">
        <v>125</v>
      </c>
      <c r="X3" s="40" t="s">
        <v>125</v>
      </c>
    </row>
    <row r="4" customFormat="false" ht="15" hidden="false" customHeight="false" outlineLevel="0" collapsed="false">
      <c r="A4" s="37" t="s">
        <v>126</v>
      </c>
      <c r="B4" s="37" t="s">
        <v>127</v>
      </c>
      <c r="C4" s="37" t="s">
        <v>89</v>
      </c>
      <c r="D4" s="37" t="s">
        <v>128</v>
      </c>
      <c r="E4" s="37" t="s">
        <v>129</v>
      </c>
      <c r="F4" s="37" t="s">
        <v>130</v>
      </c>
      <c r="G4" s="38" t="n">
        <v>46104</v>
      </c>
      <c r="H4" s="26" t="n">
        <v>970.67</v>
      </c>
      <c r="I4" s="26" t="n">
        <v>521.76</v>
      </c>
      <c r="J4" s="26" t="n">
        <v>544.49</v>
      </c>
      <c r="K4" s="26" t="n">
        <f aca="false">I4-J4</f>
        <v>-22.73</v>
      </c>
      <c r="L4" s="39" t="n">
        <f aca="false">IFERROR(K4/I4,0)</f>
        <v>-0.0435640907697026</v>
      </c>
      <c r="M4" s="26" t="n">
        <v>477.96</v>
      </c>
      <c r="N4" s="26" t="n">
        <f aca="false">I4-M4</f>
        <v>43.8</v>
      </c>
      <c r="O4" s="39" t="n">
        <f aca="false">IFERROR(N4/I4,0)</f>
        <v>0.0839466421343146</v>
      </c>
      <c r="P4" s="26" t="n">
        <v>399.2</v>
      </c>
      <c r="Q4" s="26" t="n">
        <f aca="false">I4-P4</f>
        <v>122.56</v>
      </c>
      <c r="R4" s="39" t="n">
        <f aca="false">IFERROR(Q4/I4,0)</f>
        <v>0.234897270775836</v>
      </c>
      <c r="S4" s="26" t="n">
        <v>429.62</v>
      </c>
      <c r="T4" s="26" t="n">
        <f aca="false">I4-S4</f>
        <v>92.14</v>
      </c>
      <c r="U4" s="39" t="n">
        <f aca="false">IFERROR(T4/I4,0)</f>
        <v>0.176594602882551</v>
      </c>
      <c r="V4" s="40" t="s">
        <v>125</v>
      </c>
      <c r="W4" s="40" t="s">
        <v>125</v>
      </c>
      <c r="X4" s="40" t="s">
        <v>125</v>
      </c>
    </row>
    <row r="5" customFormat="false" ht="15" hidden="false" customHeight="false" outlineLevel="0" collapsed="false">
      <c r="A5" s="37" t="s">
        <v>131</v>
      </c>
      <c r="B5" s="37" t="s">
        <v>132</v>
      </c>
      <c r="C5" s="37" t="s">
        <v>87</v>
      </c>
      <c r="D5" s="37" t="s">
        <v>133</v>
      </c>
      <c r="E5" s="37" t="s">
        <v>134</v>
      </c>
      <c r="F5" s="37" t="s">
        <v>135</v>
      </c>
      <c r="G5" s="38" t="n">
        <v>46078</v>
      </c>
      <c r="H5" s="26" t="n">
        <v>14744.32</v>
      </c>
      <c r="I5" s="26" t="n">
        <v>5877.08</v>
      </c>
      <c r="J5" s="26" t="n">
        <v>5985.09</v>
      </c>
      <c r="K5" s="26" t="n">
        <f aca="false">I5-J5</f>
        <v>-108.01</v>
      </c>
      <c r="L5" s="39" t="n">
        <f aca="false">IFERROR(K5/I5,0)</f>
        <v>-0.0183781741953487</v>
      </c>
      <c r="M5" s="26" t="n">
        <v>4940.9</v>
      </c>
      <c r="N5" s="26" t="n">
        <f aca="false">I5-M5</f>
        <v>936.18</v>
      </c>
      <c r="O5" s="39" t="n">
        <f aca="false">IFERROR(N5/I5,0)</f>
        <v>0.15929339059533</v>
      </c>
      <c r="P5" s="26" t="n">
        <v>3721.4</v>
      </c>
      <c r="Q5" s="26" t="n">
        <f aca="false">I5-P5</f>
        <v>2155.68</v>
      </c>
      <c r="R5" s="39" t="n">
        <f aca="false">IFERROR(Q5/I5,0)</f>
        <v>0.366794394495226</v>
      </c>
      <c r="S5" s="26" t="n">
        <v>4696.24</v>
      </c>
      <c r="T5" s="26" t="n">
        <f aca="false">I5-S5</f>
        <v>1180.84</v>
      </c>
      <c r="U5" s="39" t="n">
        <f aca="false">IFERROR(T5/I5,0)</f>
        <v>0.200922907294098</v>
      </c>
      <c r="V5" s="40" t="s">
        <v>125</v>
      </c>
      <c r="W5" s="40" t="s">
        <v>125</v>
      </c>
      <c r="X5" s="40" t="s">
        <v>125</v>
      </c>
    </row>
    <row r="6" customFormat="false" ht="15" hidden="false" customHeight="false" outlineLevel="0" collapsed="false">
      <c r="A6" s="37" t="s">
        <v>136</v>
      </c>
      <c r="B6" s="37" t="s">
        <v>137</v>
      </c>
      <c r="C6" s="37" t="s">
        <v>87</v>
      </c>
      <c r="D6" s="37" t="s">
        <v>138</v>
      </c>
      <c r="E6" s="37" t="s">
        <v>134</v>
      </c>
      <c r="F6" s="37" t="s">
        <v>139</v>
      </c>
      <c r="G6" s="38" t="n">
        <v>46044</v>
      </c>
      <c r="H6" s="26" t="n">
        <v>24982.64</v>
      </c>
      <c r="I6" s="26" t="n">
        <v>12921.16</v>
      </c>
      <c r="J6" s="26" t="n">
        <v>13543.18</v>
      </c>
      <c r="K6" s="26" t="n">
        <f aca="false">I6-J6</f>
        <v>-622.02</v>
      </c>
      <c r="L6" s="39" t="n">
        <f aca="false">IFERROR(K6/I6,0)</f>
        <v>-0.0481396407133725</v>
      </c>
      <c r="M6" s="26" t="n">
        <v>11533.9</v>
      </c>
      <c r="N6" s="26" t="n">
        <f aca="false">I6-M6</f>
        <v>1387.26</v>
      </c>
      <c r="O6" s="39" t="n">
        <f aca="false">IFERROR(N6/I6,0)</f>
        <v>0.107363425574794</v>
      </c>
      <c r="P6" s="26" t="n">
        <v>9546.38</v>
      </c>
      <c r="Q6" s="26" t="n">
        <f aca="false">I6-P6</f>
        <v>3374.78</v>
      </c>
      <c r="R6" s="39" t="n">
        <f aca="false">IFERROR(Q6/I6,0)</f>
        <v>0.261182432537017</v>
      </c>
      <c r="S6" s="26" t="n">
        <v>9561.11</v>
      </c>
      <c r="T6" s="26" t="n">
        <f aca="false">I6-S6</f>
        <v>3360.05</v>
      </c>
      <c r="U6" s="39" t="n">
        <f aca="false">IFERROR(T6/I6,0)</f>
        <v>0.26004244200985</v>
      </c>
      <c r="V6" s="40" t="s">
        <v>140</v>
      </c>
      <c r="W6" s="40" t="s">
        <v>125</v>
      </c>
      <c r="X6" s="40" t="s">
        <v>125</v>
      </c>
    </row>
    <row r="7" customFormat="false" ht="15" hidden="false" customHeight="false" outlineLevel="0" collapsed="false">
      <c r="A7" s="37" t="s">
        <v>141</v>
      </c>
      <c r="B7" s="37" t="s">
        <v>142</v>
      </c>
      <c r="C7" s="37" t="s">
        <v>89</v>
      </c>
      <c r="D7" s="37" t="s">
        <v>143</v>
      </c>
      <c r="E7" s="37" t="s">
        <v>129</v>
      </c>
      <c r="F7" s="37" t="s">
        <v>130</v>
      </c>
      <c r="G7" s="38" t="n">
        <v>46163</v>
      </c>
      <c r="H7" s="26" t="n">
        <v>4086.2</v>
      </c>
      <c r="I7" s="26" t="n">
        <v>2052.23</v>
      </c>
      <c r="J7" s="26" t="n">
        <v>2129.44</v>
      </c>
      <c r="K7" s="26" t="n">
        <f aca="false">I7-J7</f>
        <v>-77.21</v>
      </c>
      <c r="L7" s="39" t="n">
        <f aca="false">IFERROR(K7/I7,0)</f>
        <v>-0.0376224887074061</v>
      </c>
      <c r="M7" s="26" t="n">
        <v>1900.33</v>
      </c>
      <c r="N7" s="26" t="n">
        <f aca="false">I7-M7</f>
        <v>151.9</v>
      </c>
      <c r="O7" s="39" t="n">
        <f aca="false">IFERROR(N7/I7,0)</f>
        <v>0.074017044873138</v>
      </c>
      <c r="P7" s="26" t="n">
        <v>1530.3</v>
      </c>
      <c r="Q7" s="26" t="n">
        <f aca="false">I7-P7</f>
        <v>521.93</v>
      </c>
      <c r="R7" s="39" t="n">
        <f aca="false">IFERROR(Q7/I7,0)</f>
        <v>0.254323345823811</v>
      </c>
      <c r="S7" s="26" t="n">
        <v>1660.38</v>
      </c>
      <c r="T7" s="26" t="n">
        <f aca="false">I7-S7</f>
        <v>391.85</v>
      </c>
      <c r="U7" s="39" t="n">
        <f aca="false">IFERROR(T7/I7,0)</f>
        <v>0.190938637482154</v>
      </c>
      <c r="V7" s="40" t="s">
        <v>125</v>
      </c>
      <c r="W7" s="40" t="s">
        <v>125</v>
      </c>
      <c r="X7" s="40" t="s">
        <v>140</v>
      </c>
    </row>
    <row r="8" customFormat="false" ht="15" hidden="false" customHeight="false" outlineLevel="0" collapsed="false">
      <c r="A8" s="37" t="s">
        <v>144</v>
      </c>
      <c r="B8" s="37" t="s">
        <v>145</v>
      </c>
      <c r="C8" s="37" t="s">
        <v>86</v>
      </c>
      <c r="D8" s="37" t="s">
        <v>146</v>
      </c>
      <c r="E8" s="37" t="s">
        <v>123</v>
      </c>
      <c r="F8" s="37" t="s">
        <v>147</v>
      </c>
      <c r="G8" s="38" t="n">
        <v>46055</v>
      </c>
      <c r="H8" s="26" t="n">
        <v>176367.44</v>
      </c>
      <c r="I8" s="26" t="n">
        <v>62536.17</v>
      </c>
      <c r="J8" s="26" t="n">
        <v>62382.68</v>
      </c>
      <c r="K8" s="26" t="n">
        <f aca="false">I8-J8</f>
        <v>153.489999999998</v>
      </c>
      <c r="L8" s="39" t="n">
        <f aca="false">IFERROR(K8/I8,0)</f>
        <v>0.00245441957830161</v>
      </c>
      <c r="M8" s="26" t="n">
        <v>55405.49</v>
      </c>
      <c r="N8" s="26" t="n">
        <f aca="false">I8-M8</f>
        <v>7130.68</v>
      </c>
      <c r="O8" s="39" t="n">
        <f aca="false">IFERROR(N8/I8,0)</f>
        <v>0.114024891514783</v>
      </c>
      <c r="P8" s="26" t="n">
        <v>48346.11</v>
      </c>
      <c r="Q8" s="26" t="n">
        <f aca="false">I8-P8</f>
        <v>14190.06</v>
      </c>
      <c r="R8" s="39" t="n">
        <f aca="false">IFERROR(Q8/I8,0)</f>
        <v>0.226909642851489</v>
      </c>
      <c r="S8" s="26" t="n">
        <v>48038.03</v>
      </c>
      <c r="T8" s="26" t="n">
        <f aca="false">I8-S8</f>
        <v>14498.14</v>
      </c>
      <c r="U8" s="39" t="n">
        <f aca="false">IFERROR(T8/I8,0)</f>
        <v>0.231836071828511</v>
      </c>
      <c r="V8" s="40" t="s">
        <v>125</v>
      </c>
      <c r="W8" s="40" t="s">
        <v>125</v>
      </c>
      <c r="X8" s="40" t="s">
        <v>125</v>
      </c>
    </row>
    <row r="9" customFormat="false" ht="15" hidden="false" customHeight="false" outlineLevel="0" collapsed="false">
      <c r="A9" s="37" t="s">
        <v>148</v>
      </c>
      <c r="B9" s="37" t="s">
        <v>149</v>
      </c>
      <c r="C9" s="37" t="s">
        <v>86</v>
      </c>
      <c r="D9" s="37" t="s">
        <v>150</v>
      </c>
      <c r="E9" s="37" t="s">
        <v>123</v>
      </c>
      <c r="F9" s="37" t="s">
        <v>151</v>
      </c>
      <c r="G9" s="38" t="n">
        <v>46055</v>
      </c>
      <c r="H9" s="26" t="n">
        <v>179558.75</v>
      </c>
      <c r="I9" s="26" t="n">
        <v>53753.86</v>
      </c>
      <c r="J9" s="26" t="n">
        <v>54808.02</v>
      </c>
      <c r="K9" s="26" t="n">
        <f aca="false">I9-J9</f>
        <v>-1054.16</v>
      </c>
      <c r="L9" s="39" t="n">
        <f aca="false">IFERROR(K9/I9,0)</f>
        <v>-0.0196108707356085</v>
      </c>
      <c r="M9" s="26" t="n">
        <v>48140.79</v>
      </c>
      <c r="N9" s="26" t="n">
        <f aca="false">I9-M9</f>
        <v>5613.07</v>
      </c>
      <c r="O9" s="39" t="n">
        <f aca="false">IFERROR(N9/I9,0)</f>
        <v>0.104421710366474</v>
      </c>
      <c r="P9" s="26" t="n">
        <v>40957.4</v>
      </c>
      <c r="Q9" s="26" t="n">
        <f aca="false">I9-P9</f>
        <v>12796.46</v>
      </c>
      <c r="R9" s="39" t="n">
        <f aca="false">IFERROR(Q9/I9,0)</f>
        <v>0.238056578634539</v>
      </c>
      <c r="S9" s="26" t="n">
        <v>41219.13</v>
      </c>
      <c r="T9" s="26" t="n">
        <f aca="false">I9-S9</f>
        <v>12534.73</v>
      </c>
      <c r="U9" s="39" t="n">
        <f aca="false">IFERROR(T9/I9,0)</f>
        <v>0.233187532951122</v>
      </c>
      <c r="V9" s="40" t="s">
        <v>125</v>
      </c>
      <c r="W9" s="40" t="s">
        <v>140</v>
      </c>
      <c r="X9" s="40" t="s">
        <v>125</v>
      </c>
    </row>
    <row r="10" customFormat="false" ht="15" hidden="false" customHeight="false" outlineLevel="0" collapsed="false">
      <c r="A10" s="37" t="s">
        <v>152</v>
      </c>
      <c r="B10" s="37" t="s">
        <v>153</v>
      </c>
      <c r="C10" s="37" t="s">
        <v>87</v>
      </c>
      <c r="D10" s="37" t="s">
        <v>154</v>
      </c>
      <c r="E10" s="37" t="s">
        <v>134</v>
      </c>
      <c r="F10" s="37" t="s">
        <v>135</v>
      </c>
      <c r="G10" s="38" t="n">
        <v>46175</v>
      </c>
      <c r="H10" s="26" t="n">
        <v>17140.14</v>
      </c>
      <c r="I10" s="26" t="n">
        <v>6805.33</v>
      </c>
      <c r="J10" s="26" t="n">
        <v>6786.23</v>
      </c>
      <c r="K10" s="26" t="n">
        <f aca="false">I10-J10</f>
        <v>19.1000000000004</v>
      </c>
      <c r="L10" s="39" t="n">
        <f aca="false">IFERROR(K10/I10,0)</f>
        <v>0.00280662363177103</v>
      </c>
      <c r="M10" s="26" t="n">
        <v>6050.13</v>
      </c>
      <c r="N10" s="26" t="n">
        <f aca="false">I10-M10</f>
        <v>755.2</v>
      </c>
      <c r="O10" s="39" t="n">
        <f aca="false">IFERROR(N10/I10,0)</f>
        <v>0.110971841189186</v>
      </c>
      <c r="P10" s="26" t="n">
        <v>4453.89</v>
      </c>
      <c r="Q10" s="26" t="n">
        <f aca="false">I10-P10</f>
        <v>2351.44</v>
      </c>
      <c r="R10" s="39" t="n">
        <f aca="false">IFERROR(Q10/I10,0)</f>
        <v>0.345529166109505</v>
      </c>
      <c r="S10" s="26" t="n">
        <v>5385.35</v>
      </c>
      <c r="T10" s="26" t="n">
        <f aca="false">I10-S10</f>
        <v>1419.98</v>
      </c>
      <c r="U10" s="39" t="n">
        <f aca="false">IFERROR(T10/I10,0)</f>
        <v>0.20865703793938</v>
      </c>
      <c r="V10" s="40" t="s">
        <v>125</v>
      </c>
      <c r="W10" s="40" t="s">
        <v>140</v>
      </c>
      <c r="X10" s="40" t="s">
        <v>125</v>
      </c>
    </row>
    <row r="11" customFormat="false" ht="15" hidden="false" customHeight="false" outlineLevel="0" collapsed="false">
      <c r="A11" s="37" t="s">
        <v>155</v>
      </c>
      <c r="B11" s="37" t="s">
        <v>156</v>
      </c>
      <c r="C11" s="37" t="s">
        <v>87</v>
      </c>
      <c r="D11" s="37" t="s">
        <v>154</v>
      </c>
      <c r="E11" s="37" t="s">
        <v>134</v>
      </c>
      <c r="F11" s="37" t="s">
        <v>157</v>
      </c>
      <c r="G11" s="38" t="n">
        <v>46172</v>
      </c>
      <c r="H11" s="26" t="n">
        <v>13778.12</v>
      </c>
      <c r="I11" s="26" t="n">
        <v>5208.63</v>
      </c>
      <c r="J11" s="26" t="n">
        <v>5213.89</v>
      </c>
      <c r="K11" s="26" t="n">
        <f aca="false">I11-J11</f>
        <v>-5.26000000000022</v>
      </c>
      <c r="L11" s="39" t="n">
        <f aca="false">IFERROR(K11/I11,0)</f>
        <v>-0.00100986247823328</v>
      </c>
      <c r="M11" s="26" t="n">
        <v>4407.87</v>
      </c>
      <c r="N11" s="26" t="n">
        <f aca="false">I11-M11</f>
        <v>800.76</v>
      </c>
      <c r="O11" s="39" t="n">
        <f aca="false">IFERROR(N11/I11,0)</f>
        <v>0.153737163131188</v>
      </c>
      <c r="P11" s="26" t="n">
        <v>3867.03</v>
      </c>
      <c r="Q11" s="26" t="n">
        <f aca="false">I11-P11</f>
        <v>1341.6</v>
      </c>
      <c r="R11" s="39" t="n">
        <f aca="false">IFERROR(Q11/I11,0)</f>
        <v>0.257572528668767</v>
      </c>
      <c r="S11" s="26" t="n">
        <v>3797.33</v>
      </c>
      <c r="T11" s="26" t="n">
        <f aca="false">I11-S11</f>
        <v>1411.3</v>
      </c>
      <c r="U11" s="39" t="n">
        <f aca="false">IFERROR(T11/I11,0)</f>
        <v>0.270954166450679</v>
      </c>
      <c r="V11" s="40" t="s">
        <v>125</v>
      </c>
      <c r="W11" s="40" t="s">
        <v>140</v>
      </c>
      <c r="X11" s="40" t="s">
        <v>125</v>
      </c>
    </row>
    <row r="12" customFormat="false" ht="15" hidden="false" customHeight="false" outlineLevel="0" collapsed="false">
      <c r="A12" s="37" t="s">
        <v>158</v>
      </c>
      <c r="B12" s="37" t="s">
        <v>159</v>
      </c>
      <c r="C12" s="37" t="s">
        <v>86</v>
      </c>
      <c r="D12" s="37" t="s">
        <v>122</v>
      </c>
      <c r="E12" s="37" t="s">
        <v>123</v>
      </c>
      <c r="F12" s="37" t="s">
        <v>151</v>
      </c>
      <c r="G12" s="38" t="n">
        <v>45869</v>
      </c>
      <c r="H12" s="26" t="n">
        <v>34965.69</v>
      </c>
      <c r="I12" s="26" t="n">
        <v>10890.33</v>
      </c>
      <c r="J12" s="26" t="n">
        <v>11002.34</v>
      </c>
      <c r="K12" s="26" t="n">
        <f aca="false">I12-J12</f>
        <v>-112.01</v>
      </c>
      <c r="L12" s="39" t="n">
        <f aca="false">IFERROR(K12/I12,0)</f>
        <v>-0.0102852714288732</v>
      </c>
      <c r="M12" s="26" t="n">
        <v>9570.76</v>
      </c>
      <c r="N12" s="26" t="n">
        <f aca="false">I12-M12</f>
        <v>1319.57</v>
      </c>
      <c r="O12" s="39" t="n">
        <f aca="false">IFERROR(N12/I12,0)</f>
        <v>0.121168963658585</v>
      </c>
      <c r="P12" s="26" t="n">
        <v>7404.5</v>
      </c>
      <c r="Q12" s="26" t="n">
        <f aca="false">I12-P12</f>
        <v>3485.83</v>
      </c>
      <c r="R12" s="39" t="n">
        <f aca="false">IFERROR(Q12/I12,0)</f>
        <v>0.320084882643593</v>
      </c>
      <c r="S12" s="26" t="n">
        <v>8431.55</v>
      </c>
      <c r="T12" s="26" t="n">
        <f aca="false">I12-S12</f>
        <v>2458.78</v>
      </c>
      <c r="U12" s="39" t="n">
        <f aca="false">IFERROR(T12/I12,0)</f>
        <v>0.225776445709175</v>
      </c>
      <c r="V12" s="40" t="s">
        <v>125</v>
      </c>
      <c r="W12" s="40" t="s">
        <v>125</v>
      </c>
      <c r="X12" s="40" t="s">
        <v>125</v>
      </c>
    </row>
    <row r="13" customFormat="false" ht="15" hidden="false" customHeight="false" outlineLevel="0" collapsed="false">
      <c r="A13" s="37" t="s">
        <v>160</v>
      </c>
      <c r="B13" s="37" t="s">
        <v>161</v>
      </c>
      <c r="C13" s="37" t="s">
        <v>86</v>
      </c>
      <c r="D13" s="37" t="s">
        <v>162</v>
      </c>
      <c r="E13" s="37" t="s">
        <v>123</v>
      </c>
      <c r="F13" s="37" t="s">
        <v>163</v>
      </c>
      <c r="G13" s="38" t="n">
        <v>46024</v>
      </c>
      <c r="H13" s="26" t="n">
        <v>76695.79</v>
      </c>
      <c r="I13" s="26" t="n">
        <v>23209.44</v>
      </c>
      <c r="J13" s="26" t="n">
        <v>24305.16</v>
      </c>
      <c r="K13" s="26" t="n">
        <f aca="false">I13-J13</f>
        <v>-1095.72</v>
      </c>
      <c r="L13" s="39" t="n">
        <f aca="false">IFERROR(K13/I13,0)</f>
        <v>-0.0472101007176391</v>
      </c>
      <c r="M13" s="26" t="n">
        <v>21172.66</v>
      </c>
      <c r="N13" s="26" t="n">
        <f aca="false">I13-M13</f>
        <v>2036.78</v>
      </c>
      <c r="O13" s="39" t="n">
        <f aca="false">IFERROR(N13/I13,0)</f>
        <v>0.0877565335484182</v>
      </c>
      <c r="P13" s="26" t="n">
        <v>17857.44</v>
      </c>
      <c r="Q13" s="26" t="n">
        <f aca="false">I13-P13</f>
        <v>5352</v>
      </c>
      <c r="R13" s="39" t="n">
        <f aca="false">IFERROR(Q13/I13,0)</f>
        <v>0.230595826525759</v>
      </c>
      <c r="S13" s="26" t="n">
        <v>18936.21</v>
      </c>
      <c r="T13" s="26" t="n">
        <f aca="false">I13-S13</f>
        <v>4273.23</v>
      </c>
      <c r="U13" s="39" t="n">
        <f aca="false">IFERROR(T13/I13,0)</f>
        <v>0.184116032097285</v>
      </c>
      <c r="V13" s="40" t="s">
        <v>125</v>
      </c>
      <c r="W13" s="40" t="s">
        <v>125</v>
      </c>
      <c r="X13" s="40" t="s">
        <v>125</v>
      </c>
    </row>
    <row r="14" customFormat="false" ht="15" hidden="false" customHeight="false" outlineLevel="0" collapsed="false">
      <c r="A14" s="37" t="s">
        <v>164</v>
      </c>
      <c r="B14" s="37" t="s">
        <v>165</v>
      </c>
      <c r="C14" s="37" t="s">
        <v>86</v>
      </c>
      <c r="D14" s="37" t="s">
        <v>146</v>
      </c>
      <c r="E14" s="37" t="s">
        <v>123</v>
      </c>
      <c r="F14" s="37" t="s">
        <v>166</v>
      </c>
      <c r="G14" s="38" t="n">
        <v>45951</v>
      </c>
      <c r="H14" s="26" t="n">
        <v>38573.81</v>
      </c>
      <c r="I14" s="26" t="n">
        <v>11554.72</v>
      </c>
      <c r="J14" s="26" t="n">
        <v>11955.66</v>
      </c>
      <c r="K14" s="26" t="n">
        <f aca="false">I14-J14</f>
        <v>-400.940000000001</v>
      </c>
      <c r="L14" s="39" t="n">
        <f aca="false">IFERROR(K14/I14,0)</f>
        <v>-0.0346992397911849</v>
      </c>
      <c r="M14" s="26" t="n">
        <v>10097.64</v>
      </c>
      <c r="N14" s="26" t="n">
        <f aca="false">I14-M14</f>
        <v>1457.08</v>
      </c>
      <c r="O14" s="39" t="n">
        <f aca="false">IFERROR(N14/I14,0)</f>
        <v>0.126102579724996</v>
      </c>
      <c r="P14" s="26" t="n">
        <v>8632.67</v>
      </c>
      <c r="Q14" s="26" t="n">
        <f aca="false">I14-P14</f>
        <v>2922.05</v>
      </c>
      <c r="R14" s="39" t="n">
        <f aca="false">IFERROR(Q14/I14,0)</f>
        <v>0.252887997285958</v>
      </c>
      <c r="S14" s="26" t="n">
        <v>9210.59</v>
      </c>
      <c r="T14" s="26" t="n">
        <f aca="false">I14-S14</f>
        <v>2344.13</v>
      </c>
      <c r="U14" s="39" t="n">
        <f aca="false">IFERROR(T14/I14,0)</f>
        <v>0.20287207305759</v>
      </c>
      <c r="V14" s="40" t="s">
        <v>125</v>
      </c>
      <c r="W14" s="40" t="s">
        <v>125</v>
      </c>
      <c r="X14" s="40" t="s">
        <v>125</v>
      </c>
    </row>
    <row r="15" customFormat="false" ht="15" hidden="false" customHeight="false" outlineLevel="0" collapsed="false">
      <c r="A15" s="37" t="s">
        <v>167</v>
      </c>
      <c r="B15" s="37" t="s">
        <v>168</v>
      </c>
      <c r="C15" s="37" t="s">
        <v>86</v>
      </c>
      <c r="D15" s="37" t="s">
        <v>146</v>
      </c>
      <c r="E15" s="37" t="s">
        <v>123</v>
      </c>
      <c r="F15" s="37" t="s">
        <v>169</v>
      </c>
      <c r="G15" s="38" t="n">
        <v>45917</v>
      </c>
      <c r="H15" s="26" t="n">
        <v>175361.54</v>
      </c>
      <c r="I15" s="26" t="n">
        <v>67807.87</v>
      </c>
      <c r="J15" s="26" t="n">
        <v>69195.28</v>
      </c>
      <c r="K15" s="26" t="n">
        <f aca="false">I15-J15</f>
        <v>-1387.41</v>
      </c>
      <c r="L15" s="39" t="n">
        <f aca="false">IFERROR(K15/I15,0)</f>
        <v>-0.0204608993026916</v>
      </c>
      <c r="M15" s="26" t="n">
        <v>56324</v>
      </c>
      <c r="N15" s="26" t="n">
        <f aca="false">I15-M15</f>
        <v>11483.87</v>
      </c>
      <c r="O15" s="39" t="n">
        <f aca="false">IFERROR(N15/I15,0)</f>
        <v>0.169358954941366</v>
      </c>
      <c r="P15" s="26" t="n">
        <v>49587.15</v>
      </c>
      <c r="Q15" s="26" t="n">
        <f aca="false">I15-P15</f>
        <v>18220.72</v>
      </c>
      <c r="R15" s="39" t="n">
        <f aca="false">IFERROR(Q15/I15,0)</f>
        <v>0.268710991806703</v>
      </c>
      <c r="S15" s="26" t="n">
        <v>57133.8</v>
      </c>
      <c r="T15" s="26" t="n">
        <f aca="false">I15-S15</f>
        <v>10674.07</v>
      </c>
      <c r="U15" s="39" t="n">
        <f aca="false">IFERROR(T15/I15,0)</f>
        <v>0.157416388392675</v>
      </c>
      <c r="V15" s="40" t="s">
        <v>125</v>
      </c>
      <c r="W15" s="40" t="s">
        <v>125</v>
      </c>
      <c r="X15" s="40" t="s">
        <v>125</v>
      </c>
    </row>
    <row r="16" customFormat="false" ht="15" hidden="false" customHeight="false" outlineLevel="0" collapsed="false">
      <c r="A16" s="37" t="s">
        <v>170</v>
      </c>
      <c r="B16" s="37" t="s">
        <v>171</v>
      </c>
      <c r="C16" s="37" t="s">
        <v>88</v>
      </c>
      <c r="D16" s="37" t="s">
        <v>172</v>
      </c>
      <c r="E16" s="37" t="s">
        <v>173</v>
      </c>
      <c r="F16" s="37" t="s">
        <v>174</v>
      </c>
      <c r="G16" s="38" t="n">
        <v>45946</v>
      </c>
      <c r="H16" s="26" t="n">
        <v>1391.24</v>
      </c>
      <c r="I16" s="26" t="n">
        <v>858.28</v>
      </c>
      <c r="J16" s="26" t="n">
        <v>879.69</v>
      </c>
      <c r="K16" s="26" t="n">
        <f aca="false">I16-J16</f>
        <v>-21.4100000000001</v>
      </c>
      <c r="L16" s="39" t="n">
        <f aca="false">IFERROR(K16/I16,0)</f>
        <v>-0.0249452393158411</v>
      </c>
      <c r="M16" s="26" t="n">
        <v>742.25</v>
      </c>
      <c r="N16" s="26" t="n">
        <f aca="false">I16-M16</f>
        <v>116.03</v>
      </c>
      <c r="O16" s="39" t="n">
        <f aca="false">IFERROR(N16/I16,0)</f>
        <v>0.135188982616396</v>
      </c>
      <c r="P16" s="26" t="n">
        <v>596.76</v>
      </c>
      <c r="Q16" s="26" t="n">
        <f aca="false">I16-P16</f>
        <v>261.52</v>
      </c>
      <c r="R16" s="39" t="n">
        <f aca="false">IFERROR(Q16/I16,0)</f>
        <v>0.304702428112038</v>
      </c>
      <c r="S16" s="26" t="n">
        <v>666.88</v>
      </c>
      <c r="T16" s="26" t="n">
        <f aca="false">I16-S16</f>
        <v>191.4</v>
      </c>
      <c r="U16" s="39" t="n">
        <f aca="false">IFERROR(T16/I16,0)</f>
        <v>0.223004147830545</v>
      </c>
      <c r="V16" s="40" t="s">
        <v>125</v>
      </c>
      <c r="W16" s="40" t="s">
        <v>140</v>
      </c>
      <c r="X16" s="40" t="s">
        <v>125</v>
      </c>
    </row>
    <row r="17" customFormat="false" ht="15" hidden="false" customHeight="false" outlineLevel="0" collapsed="false">
      <c r="A17" s="37" t="s">
        <v>175</v>
      </c>
      <c r="B17" s="37" t="s">
        <v>171</v>
      </c>
      <c r="C17" s="37" t="s">
        <v>89</v>
      </c>
      <c r="D17" s="37" t="s">
        <v>176</v>
      </c>
      <c r="E17" s="37" t="s">
        <v>129</v>
      </c>
      <c r="F17" s="37" t="s">
        <v>177</v>
      </c>
      <c r="G17" s="38" t="n">
        <v>46195</v>
      </c>
      <c r="H17" s="26" t="n">
        <v>1362.32</v>
      </c>
      <c r="I17" s="26" t="n">
        <v>657.96</v>
      </c>
      <c r="J17" s="26" t="n">
        <v>664.44</v>
      </c>
      <c r="K17" s="26" t="n">
        <f aca="false">I17-J17</f>
        <v>-6.48000000000002</v>
      </c>
      <c r="L17" s="39" t="n">
        <f aca="false">IFERROR(K17/I17,0)</f>
        <v>-0.00984862301659678</v>
      </c>
      <c r="M17" s="26" t="n">
        <v>576.76</v>
      </c>
      <c r="N17" s="26" t="n">
        <f aca="false">I17-M17</f>
        <v>81.2000000000001</v>
      </c>
      <c r="O17" s="39" t="n">
        <f aca="false">IFERROR(N17/I17,0)</f>
        <v>0.123411757553651</v>
      </c>
      <c r="P17" s="26" t="n">
        <v>433</v>
      </c>
      <c r="Q17" s="26" t="n">
        <f aca="false">I17-P17</f>
        <v>224.96</v>
      </c>
      <c r="R17" s="39" t="n">
        <f aca="false">IFERROR(Q17/I17,0)</f>
        <v>0.341905282995927</v>
      </c>
      <c r="S17" s="26" t="n">
        <v>546.07</v>
      </c>
      <c r="T17" s="26" t="n">
        <f aca="false">I17-S17</f>
        <v>111.89</v>
      </c>
      <c r="U17" s="39" t="n">
        <f aca="false">IFERROR(T17/I17,0)</f>
        <v>0.170055930451699</v>
      </c>
      <c r="V17" s="40" t="s">
        <v>125</v>
      </c>
      <c r="W17" s="40" t="s">
        <v>125</v>
      </c>
      <c r="X17" s="40" t="s">
        <v>125</v>
      </c>
    </row>
    <row r="18" customFormat="false" ht="15" hidden="false" customHeight="false" outlineLevel="0" collapsed="false">
      <c r="A18" s="37" t="s">
        <v>178</v>
      </c>
      <c r="B18" s="37" t="s">
        <v>179</v>
      </c>
      <c r="C18" s="37" t="s">
        <v>87</v>
      </c>
      <c r="D18" s="37" t="s">
        <v>180</v>
      </c>
      <c r="E18" s="37" t="s">
        <v>134</v>
      </c>
      <c r="F18" s="37" t="s">
        <v>181</v>
      </c>
      <c r="G18" s="38" t="n">
        <v>45868</v>
      </c>
      <c r="H18" s="26" t="n">
        <v>16817.29</v>
      </c>
      <c r="I18" s="26" t="n">
        <v>7522.95</v>
      </c>
      <c r="J18" s="26" t="n">
        <v>7533.44</v>
      </c>
      <c r="K18" s="26" t="n">
        <f aca="false">I18-J18</f>
        <v>-10.4899999999998</v>
      </c>
      <c r="L18" s="39" t="n">
        <f aca="false">IFERROR(K18/I18,0)</f>
        <v>-0.00139439980326864</v>
      </c>
      <c r="M18" s="26" t="n">
        <v>6182.14</v>
      </c>
      <c r="N18" s="26" t="n">
        <f aca="false">I18-M18</f>
        <v>1340.81</v>
      </c>
      <c r="O18" s="39" t="n">
        <f aca="false">IFERROR(N18/I18,0)</f>
        <v>0.1782292850544</v>
      </c>
      <c r="P18" s="26" t="n">
        <v>4725.82</v>
      </c>
      <c r="Q18" s="26" t="n">
        <f aca="false">I18-P18</f>
        <v>2797.13</v>
      </c>
      <c r="R18" s="39" t="n">
        <f aca="false">IFERROR(Q18/I18,0)</f>
        <v>0.371812919134116</v>
      </c>
      <c r="S18" s="26" t="n">
        <v>6080.71</v>
      </c>
      <c r="T18" s="26" t="n">
        <f aca="false">I18-S18</f>
        <v>1442.24</v>
      </c>
      <c r="U18" s="39" t="n">
        <f aca="false">IFERROR(T18/I18,0)</f>
        <v>0.191712027861411</v>
      </c>
      <c r="V18" s="40" t="s">
        <v>125</v>
      </c>
      <c r="W18" s="40" t="s">
        <v>125</v>
      </c>
      <c r="X18" s="40" t="s">
        <v>125</v>
      </c>
    </row>
    <row r="19" customFormat="false" ht="15" hidden="false" customHeight="false" outlineLevel="0" collapsed="false">
      <c r="A19" s="37" t="s">
        <v>182</v>
      </c>
      <c r="B19" s="37" t="s">
        <v>161</v>
      </c>
      <c r="C19" s="37" t="s">
        <v>89</v>
      </c>
      <c r="D19" s="37" t="s">
        <v>128</v>
      </c>
      <c r="E19" s="37" t="s">
        <v>129</v>
      </c>
      <c r="F19" s="37" t="s">
        <v>183</v>
      </c>
      <c r="G19" s="38" t="n">
        <v>45964</v>
      </c>
      <c r="H19" s="26" t="n">
        <v>3753.64</v>
      </c>
      <c r="I19" s="26" t="n">
        <v>1571.56</v>
      </c>
      <c r="J19" s="26" t="n">
        <v>1645.61</v>
      </c>
      <c r="K19" s="26" t="n">
        <f aca="false">I19-J19</f>
        <v>-74.05</v>
      </c>
      <c r="L19" s="39" t="n">
        <f aca="false">IFERROR(K19/I19,0)</f>
        <v>-0.0471187864287714</v>
      </c>
      <c r="M19" s="26" t="n">
        <v>1341.31</v>
      </c>
      <c r="N19" s="26" t="n">
        <f aca="false">I19-M19</f>
        <v>230.25</v>
      </c>
      <c r="O19" s="39" t="n">
        <f aca="false">IFERROR(N19/I19,0)</f>
        <v>0.146510473669475</v>
      </c>
      <c r="P19" s="26" t="n">
        <v>1084.93</v>
      </c>
      <c r="Q19" s="26" t="n">
        <f aca="false">I19-P19</f>
        <v>486.63</v>
      </c>
      <c r="R19" s="39" t="n">
        <f aca="false">IFERROR(Q19/I19,0)</f>
        <v>0.309647738552776</v>
      </c>
      <c r="S19" s="26" t="n">
        <v>1299.35</v>
      </c>
      <c r="T19" s="26" t="n">
        <f aca="false">I19-S19</f>
        <v>272.21</v>
      </c>
      <c r="U19" s="39" t="n">
        <f aca="false">IFERROR(T19/I19,0)</f>
        <v>0.173210058795083</v>
      </c>
      <c r="V19" s="40" t="s">
        <v>125</v>
      </c>
      <c r="W19" s="40" t="s">
        <v>125</v>
      </c>
      <c r="X19" s="40" t="s">
        <v>125</v>
      </c>
    </row>
    <row r="20" customFormat="false" ht="15" hidden="false" customHeight="false" outlineLevel="0" collapsed="false">
      <c r="A20" s="37" t="s">
        <v>184</v>
      </c>
      <c r="B20" s="37" t="s">
        <v>185</v>
      </c>
      <c r="C20" s="37" t="s">
        <v>89</v>
      </c>
      <c r="D20" s="37" t="s">
        <v>186</v>
      </c>
      <c r="E20" s="37" t="s">
        <v>129</v>
      </c>
      <c r="F20" s="37" t="s">
        <v>187</v>
      </c>
      <c r="G20" s="38" t="n">
        <v>46082</v>
      </c>
      <c r="H20" s="26" t="n">
        <v>5705.23</v>
      </c>
      <c r="I20" s="26" t="n">
        <v>3299.25</v>
      </c>
      <c r="J20" s="26" t="n">
        <v>3387.54</v>
      </c>
      <c r="K20" s="26" t="n">
        <f aca="false">I20-J20</f>
        <v>-88.29</v>
      </c>
      <c r="L20" s="39" t="n">
        <f aca="false">IFERROR(K20/I20,0)</f>
        <v>-0.0267606274153217</v>
      </c>
      <c r="M20" s="26" t="n">
        <v>2975.68</v>
      </c>
      <c r="N20" s="26" t="n">
        <f aca="false">I20-M20</f>
        <v>323.57</v>
      </c>
      <c r="O20" s="39" t="n">
        <f aca="false">IFERROR(N20/I20,0)</f>
        <v>0.0980738046525726</v>
      </c>
      <c r="P20" s="26" t="n">
        <v>2361.01</v>
      </c>
      <c r="Q20" s="26" t="n">
        <f aca="false">I20-P20</f>
        <v>938.24</v>
      </c>
      <c r="R20" s="39" t="n">
        <f aca="false">IFERROR(Q20/I20,0)</f>
        <v>0.28437978328408</v>
      </c>
      <c r="S20" s="26" t="n">
        <v>2737.28</v>
      </c>
      <c r="T20" s="26" t="n">
        <f aca="false">I20-S20</f>
        <v>561.97</v>
      </c>
      <c r="U20" s="39" t="n">
        <f aca="false">IFERROR(T20/I20,0)</f>
        <v>0.170332651360158</v>
      </c>
      <c r="V20" s="40" t="s">
        <v>125</v>
      </c>
      <c r="W20" s="40" t="s">
        <v>125</v>
      </c>
      <c r="X20" s="40" t="s">
        <v>125</v>
      </c>
    </row>
    <row r="21" customFormat="false" ht="15" hidden="false" customHeight="false" outlineLevel="0" collapsed="false">
      <c r="A21" s="37" t="s">
        <v>188</v>
      </c>
      <c r="B21" s="37" t="s">
        <v>189</v>
      </c>
      <c r="C21" s="37" t="s">
        <v>88</v>
      </c>
      <c r="D21" s="37" t="s">
        <v>190</v>
      </c>
      <c r="E21" s="37" t="s">
        <v>173</v>
      </c>
      <c r="F21" s="37" t="s">
        <v>191</v>
      </c>
      <c r="G21" s="38" t="n">
        <v>45894</v>
      </c>
      <c r="H21" s="26" t="n">
        <v>1718.02</v>
      </c>
      <c r="I21" s="26" t="n">
        <v>1062.99</v>
      </c>
      <c r="J21" s="26" t="n">
        <v>1073.48</v>
      </c>
      <c r="K21" s="26" t="n">
        <f aca="false">I21-J21</f>
        <v>-10.49</v>
      </c>
      <c r="L21" s="39" t="n">
        <f aca="false">IFERROR(K21/I21,0)</f>
        <v>-0.00986839010715059</v>
      </c>
      <c r="M21" s="26" t="n">
        <v>906.48</v>
      </c>
      <c r="N21" s="26" t="n">
        <f aca="false">I21-M21</f>
        <v>156.51</v>
      </c>
      <c r="O21" s="39" t="n">
        <f aca="false">IFERROR(N21/I21,0)</f>
        <v>0.147235627804589</v>
      </c>
      <c r="P21" s="26" t="n">
        <v>834.71</v>
      </c>
      <c r="Q21" s="26" t="n">
        <f aca="false">I21-P21</f>
        <v>228.28</v>
      </c>
      <c r="R21" s="39" t="n">
        <f aca="false">IFERROR(Q21/I21,0)</f>
        <v>0.214752725801748</v>
      </c>
      <c r="S21" s="26" t="n">
        <v>819.93</v>
      </c>
      <c r="T21" s="26" t="n">
        <f aca="false">I21-S21</f>
        <v>243.06</v>
      </c>
      <c r="U21" s="39" t="n">
        <f aca="false">IFERROR(T21/I21,0)</f>
        <v>0.228656901758248</v>
      </c>
      <c r="V21" s="40" t="s">
        <v>125</v>
      </c>
      <c r="W21" s="40" t="s">
        <v>125</v>
      </c>
      <c r="X21" s="40" t="s">
        <v>125</v>
      </c>
    </row>
    <row r="22" customFormat="false" ht="15" hidden="false" customHeight="false" outlineLevel="0" collapsed="false">
      <c r="A22" s="37" t="s">
        <v>192</v>
      </c>
      <c r="B22" s="37" t="s">
        <v>193</v>
      </c>
      <c r="C22" s="37" t="s">
        <v>89</v>
      </c>
      <c r="D22" s="37" t="s">
        <v>176</v>
      </c>
      <c r="E22" s="37" t="s">
        <v>129</v>
      </c>
      <c r="F22" s="37" t="s">
        <v>194</v>
      </c>
      <c r="G22" s="38" t="n">
        <v>45963</v>
      </c>
      <c r="H22" s="26" t="n">
        <v>5905.22</v>
      </c>
      <c r="I22" s="26" t="n">
        <v>3084.03</v>
      </c>
      <c r="J22" s="26" t="n">
        <v>3195.39</v>
      </c>
      <c r="K22" s="26" t="n">
        <f aca="false">I22-J22</f>
        <v>-111.36</v>
      </c>
      <c r="L22" s="39" t="n">
        <f aca="false">IFERROR(K22/I22,0)</f>
        <v>-0.0361085981653874</v>
      </c>
      <c r="M22" s="26" t="n">
        <v>2700.2</v>
      </c>
      <c r="N22" s="26" t="n">
        <f aca="false">I22-M22</f>
        <v>383.83</v>
      </c>
      <c r="O22" s="39" t="n">
        <f aca="false">IFERROR(N22/I22,0)</f>
        <v>0.124457284786465</v>
      </c>
      <c r="P22" s="26" t="n">
        <v>2359.89</v>
      </c>
      <c r="Q22" s="26" t="n">
        <f aca="false">I22-P22</f>
        <v>724.14</v>
      </c>
      <c r="R22" s="39" t="n">
        <f aca="false">IFERROR(Q22/I22,0)</f>
        <v>0.234803163393352</v>
      </c>
      <c r="S22" s="26" t="n">
        <v>2464.39</v>
      </c>
      <c r="T22" s="26" t="n">
        <f aca="false">I22-S22</f>
        <v>619.64</v>
      </c>
      <c r="U22" s="39" t="n">
        <f aca="false">IFERROR(T22/I22,0)</f>
        <v>0.20091892750719</v>
      </c>
      <c r="V22" s="40" t="s">
        <v>125</v>
      </c>
      <c r="W22" s="40" t="s">
        <v>125</v>
      </c>
      <c r="X22" s="40" t="s">
        <v>125</v>
      </c>
    </row>
    <row r="23" customFormat="false" ht="15" hidden="false" customHeight="false" outlineLevel="0" collapsed="false">
      <c r="A23" s="37" t="s">
        <v>195</v>
      </c>
      <c r="B23" s="37" t="s">
        <v>196</v>
      </c>
      <c r="C23" s="37" t="s">
        <v>86</v>
      </c>
      <c r="D23" s="37" t="s">
        <v>122</v>
      </c>
      <c r="E23" s="37" t="s">
        <v>123</v>
      </c>
      <c r="F23" s="37" t="s">
        <v>151</v>
      </c>
      <c r="G23" s="38" t="n">
        <v>45897</v>
      </c>
      <c r="H23" s="26" t="n">
        <v>113407.49</v>
      </c>
      <c r="I23" s="26" t="n">
        <v>37863.07</v>
      </c>
      <c r="J23" s="26" t="n">
        <v>38838.17</v>
      </c>
      <c r="K23" s="26" t="n">
        <f aca="false">I23-J23</f>
        <v>-975.099999999999</v>
      </c>
      <c r="L23" s="39" t="n">
        <f aca="false">IFERROR(K23/I23,0)</f>
        <v>-0.0257533263942939</v>
      </c>
      <c r="M23" s="26" t="n">
        <v>32819.9</v>
      </c>
      <c r="N23" s="26" t="n">
        <f aca="false">I23-M23</f>
        <v>5043.17</v>
      </c>
      <c r="O23" s="39" t="n">
        <f aca="false">IFERROR(N23/I23,0)</f>
        <v>0.13319495751401</v>
      </c>
      <c r="P23" s="26" t="n">
        <v>25848.51</v>
      </c>
      <c r="Q23" s="26" t="n">
        <f aca="false">I23-P23</f>
        <v>12014.56</v>
      </c>
      <c r="R23" s="39" t="n">
        <f aca="false">IFERROR(Q23/I23,0)</f>
        <v>0.317316054931626</v>
      </c>
      <c r="S23" s="26" t="n">
        <v>30701.45</v>
      </c>
      <c r="T23" s="26" t="n">
        <f aca="false">I23-S23</f>
        <v>7161.62</v>
      </c>
      <c r="U23" s="39" t="n">
        <f aca="false">IFERROR(T23/I23,0)</f>
        <v>0.189145254201521</v>
      </c>
      <c r="V23" s="40" t="s">
        <v>125</v>
      </c>
      <c r="W23" s="40" t="s">
        <v>125</v>
      </c>
      <c r="X23" s="40" t="s">
        <v>125</v>
      </c>
    </row>
    <row r="24" customFormat="false" ht="15" hidden="false" customHeight="false" outlineLevel="0" collapsed="false">
      <c r="A24" s="37" t="s">
        <v>197</v>
      </c>
      <c r="B24" s="37" t="s">
        <v>198</v>
      </c>
      <c r="C24" s="37" t="s">
        <v>89</v>
      </c>
      <c r="D24" s="37" t="s">
        <v>128</v>
      </c>
      <c r="E24" s="37" t="s">
        <v>129</v>
      </c>
      <c r="F24" s="37" t="s">
        <v>177</v>
      </c>
      <c r="G24" s="38" t="n">
        <v>45993</v>
      </c>
      <c r="H24" s="26" t="n">
        <v>2024.48</v>
      </c>
      <c r="I24" s="26" t="n">
        <v>1092.09</v>
      </c>
      <c r="J24" s="26" t="n">
        <v>1117.5</v>
      </c>
      <c r="K24" s="26" t="n">
        <f aca="false">I24-J24</f>
        <v>-25.4100000000001</v>
      </c>
      <c r="L24" s="39" t="n">
        <f aca="false">IFERROR(K24/I24,0)</f>
        <v>-0.023267313133533</v>
      </c>
      <c r="M24" s="26" t="n">
        <v>927.39</v>
      </c>
      <c r="N24" s="26" t="n">
        <f aca="false">I24-M24</f>
        <v>164.7</v>
      </c>
      <c r="O24" s="39" t="n">
        <f aca="false">IFERROR(N24/I24,0)</f>
        <v>0.150811746284647</v>
      </c>
      <c r="P24" s="26" t="n">
        <v>804.26</v>
      </c>
      <c r="Q24" s="26" t="n">
        <f aca="false">I24-P24</f>
        <v>287.83</v>
      </c>
      <c r="R24" s="39" t="n">
        <f aca="false">IFERROR(Q24/I24,0)</f>
        <v>0.263558864196174</v>
      </c>
      <c r="S24" s="26" t="n">
        <v>846.91</v>
      </c>
      <c r="T24" s="26" t="n">
        <f aca="false">I24-S24</f>
        <v>245.18</v>
      </c>
      <c r="U24" s="39" t="n">
        <f aca="false">IFERROR(T24/I24,0)</f>
        <v>0.224505306339221</v>
      </c>
      <c r="V24" s="40" t="s">
        <v>125</v>
      </c>
      <c r="W24" s="40" t="s">
        <v>125</v>
      </c>
      <c r="X24" s="40" t="s">
        <v>125</v>
      </c>
    </row>
    <row r="25" customFormat="false" ht="15" hidden="false" customHeight="false" outlineLevel="0" collapsed="false">
      <c r="A25" s="37" t="s">
        <v>199</v>
      </c>
      <c r="B25" s="37" t="s">
        <v>200</v>
      </c>
      <c r="C25" s="37" t="s">
        <v>86</v>
      </c>
      <c r="D25" s="37" t="s">
        <v>162</v>
      </c>
      <c r="E25" s="37" t="s">
        <v>123</v>
      </c>
      <c r="F25" s="37" t="s">
        <v>151</v>
      </c>
      <c r="G25" s="38" t="n">
        <v>45973</v>
      </c>
      <c r="H25" s="26" t="n">
        <v>127482.21</v>
      </c>
      <c r="I25" s="26" t="n">
        <v>45278.6</v>
      </c>
      <c r="J25" s="26" t="n">
        <v>45550.7</v>
      </c>
      <c r="K25" s="26" t="n">
        <f aca="false">I25-J25</f>
        <v>-272.099999999999</v>
      </c>
      <c r="L25" s="39" t="n">
        <f aca="false">IFERROR(K25/I25,0)</f>
        <v>-0.00600946142327719</v>
      </c>
      <c r="M25" s="26" t="n">
        <v>40030.64</v>
      </c>
      <c r="N25" s="26" t="n">
        <f aca="false">I25-M25</f>
        <v>5247.96</v>
      </c>
      <c r="O25" s="39" t="n">
        <f aca="false">IFERROR(N25/I25,0)</f>
        <v>0.115903760275274</v>
      </c>
      <c r="P25" s="26" t="n">
        <v>30087.71</v>
      </c>
      <c r="Q25" s="26" t="n">
        <f aca="false">I25-P25</f>
        <v>15190.89</v>
      </c>
      <c r="R25" s="39" t="n">
        <f aca="false">IFERROR(Q25/I25,0)</f>
        <v>0.335498226535273</v>
      </c>
      <c r="S25" s="26" t="n">
        <v>36124.36</v>
      </c>
      <c r="T25" s="26" t="n">
        <f aca="false">I25-S25</f>
        <v>9154.24</v>
      </c>
      <c r="U25" s="39" t="n">
        <f aca="false">IFERROR(T25/I25,0)</f>
        <v>0.202175862327899</v>
      </c>
      <c r="V25" s="40" t="s">
        <v>125</v>
      </c>
      <c r="W25" s="40" t="s">
        <v>125</v>
      </c>
      <c r="X25" s="40" t="s">
        <v>125</v>
      </c>
    </row>
    <row r="26" customFormat="false" ht="15" hidden="false" customHeight="false" outlineLevel="0" collapsed="false">
      <c r="A26" s="37" t="s">
        <v>201</v>
      </c>
      <c r="B26" s="37" t="s">
        <v>202</v>
      </c>
      <c r="C26" s="37" t="s">
        <v>87</v>
      </c>
      <c r="D26" s="37" t="s">
        <v>138</v>
      </c>
      <c r="E26" s="37" t="s">
        <v>134</v>
      </c>
      <c r="F26" s="37" t="s">
        <v>203</v>
      </c>
      <c r="G26" s="38" t="n">
        <v>46199</v>
      </c>
      <c r="H26" s="26" t="n">
        <v>13042.41</v>
      </c>
      <c r="I26" s="26" t="n">
        <v>4910.35</v>
      </c>
      <c r="J26" s="26" t="n">
        <v>4964.07</v>
      </c>
      <c r="K26" s="26" t="n">
        <f aca="false">I26-J26</f>
        <v>-53.7199999999993</v>
      </c>
      <c r="L26" s="39" t="n">
        <f aca="false">IFERROR(K26/I26,0)</f>
        <v>-0.0109401570152839</v>
      </c>
      <c r="M26" s="26" t="n">
        <v>3962.06</v>
      </c>
      <c r="N26" s="26" t="n">
        <f aca="false">I26-M26</f>
        <v>948.29</v>
      </c>
      <c r="O26" s="39" t="n">
        <f aca="false">IFERROR(N26/I26,0)</f>
        <v>0.193120653313919</v>
      </c>
      <c r="P26" s="26" t="n">
        <v>3212.35</v>
      </c>
      <c r="Q26" s="26" t="n">
        <f aca="false">I26-P26</f>
        <v>1698</v>
      </c>
      <c r="R26" s="39" t="n">
        <f aca="false">IFERROR(Q26/I26,0)</f>
        <v>0.345800197541927</v>
      </c>
      <c r="S26" s="26" t="n">
        <v>3703.38</v>
      </c>
      <c r="T26" s="26" t="n">
        <f aca="false">I26-S26</f>
        <v>1206.97</v>
      </c>
      <c r="U26" s="39" t="n">
        <f aca="false">IFERROR(T26/I26,0)</f>
        <v>0.245801215799281</v>
      </c>
      <c r="V26" s="40" t="s">
        <v>140</v>
      </c>
      <c r="W26" s="40" t="s">
        <v>125</v>
      </c>
      <c r="X26" s="40" t="s">
        <v>125</v>
      </c>
    </row>
    <row r="27" customFormat="false" ht="15" hidden="false" customHeight="false" outlineLevel="0" collapsed="false">
      <c r="A27" s="37" t="s">
        <v>204</v>
      </c>
      <c r="B27" s="37" t="s">
        <v>205</v>
      </c>
      <c r="C27" s="37" t="s">
        <v>88</v>
      </c>
      <c r="D27" s="37" t="s">
        <v>206</v>
      </c>
      <c r="E27" s="37" t="s">
        <v>173</v>
      </c>
      <c r="F27" s="37" t="s">
        <v>207</v>
      </c>
      <c r="G27" s="38" t="n">
        <v>45922</v>
      </c>
      <c r="H27" s="26" t="n">
        <v>1724.24</v>
      </c>
      <c r="I27" s="26" t="n">
        <v>1005.9</v>
      </c>
      <c r="J27" s="26" t="n">
        <v>1017.19</v>
      </c>
      <c r="K27" s="26" t="n">
        <f aca="false">I27-J27</f>
        <v>-11.2900000000001</v>
      </c>
      <c r="L27" s="39" t="n">
        <f aca="false">IFERROR(K27/I27,0)</f>
        <v>-0.0112237796997714</v>
      </c>
      <c r="M27" s="26" t="n">
        <v>911.33</v>
      </c>
      <c r="N27" s="26" t="n">
        <f aca="false">I27-M27</f>
        <v>94.5699999999999</v>
      </c>
      <c r="O27" s="39" t="n">
        <f aca="false">IFERROR(N27/I27,0)</f>
        <v>0.0940153096729297</v>
      </c>
      <c r="P27" s="26" t="n">
        <v>789.6</v>
      </c>
      <c r="Q27" s="26" t="n">
        <f aca="false">I27-P27</f>
        <v>216.3</v>
      </c>
      <c r="R27" s="39" t="n">
        <f aca="false">IFERROR(Q27/I27,0)</f>
        <v>0.215031315240083</v>
      </c>
      <c r="S27" s="26" t="n">
        <v>861.92</v>
      </c>
      <c r="T27" s="26" t="n">
        <f aca="false">I27-S27</f>
        <v>143.98</v>
      </c>
      <c r="U27" s="39" t="n">
        <f aca="false">IFERROR(T27/I27,0)</f>
        <v>0.143135500546774</v>
      </c>
      <c r="V27" s="40" t="s">
        <v>140</v>
      </c>
      <c r="W27" s="40" t="s">
        <v>125</v>
      </c>
      <c r="X27" s="40" t="s">
        <v>125</v>
      </c>
    </row>
    <row r="28" customFormat="false" ht="15" hidden="false" customHeight="false" outlineLevel="0" collapsed="false">
      <c r="A28" s="37" t="s">
        <v>208</v>
      </c>
      <c r="B28" s="37" t="s">
        <v>196</v>
      </c>
      <c r="C28" s="37" t="s">
        <v>88</v>
      </c>
      <c r="D28" s="37" t="s">
        <v>206</v>
      </c>
      <c r="E28" s="37" t="s">
        <v>173</v>
      </c>
      <c r="F28" s="37" t="s">
        <v>209</v>
      </c>
      <c r="G28" s="38" t="n">
        <v>45974</v>
      </c>
      <c r="H28" s="26" t="n">
        <v>341.65</v>
      </c>
      <c r="I28" s="26" t="n">
        <v>161.06</v>
      </c>
      <c r="J28" s="26" t="n">
        <v>164.8</v>
      </c>
      <c r="K28" s="26" t="n">
        <f aca="false">I28-J28</f>
        <v>-3.74000000000001</v>
      </c>
      <c r="L28" s="39" t="n">
        <f aca="false">IFERROR(K28/I28,0)</f>
        <v>-0.0232211598162176</v>
      </c>
      <c r="M28" s="26" t="n">
        <v>141.29</v>
      </c>
      <c r="N28" s="26" t="n">
        <f aca="false">I28-M28</f>
        <v>19.77</v>
      </c>
      <c r="O28" s="39" t="n">
        <f aca="false">IFERROR(N28/I28,0)</f>
        <v>0.12274928598038</v>
      </c>
      <c r="P28" s="26" t="n">
        <v>121.21</v>
      </c>
      <c r="Q28" s="26" t="n">
        <f aca="false">I28-P28</f>
        <v>39.85</v>
      </c>
      <c r="R28" s="39" t="n">
        <f aca="false">IFERROR(Q28/I28,0)</f>
        <v>0.247423320501676</v>
      </c>
      <c r="S28" s="26" t="n">
        <v>133.05</v>
      </c>
      <c r="T28" s="26" t="n">
        <f aca="false">I28-S28</f>
        <v>28.01</v>
      </c>
      <c r="U28" s="39" t="n">
        <f aca="false">IFERROR(T28/I28,0)</f>
        <v>0.173910343971191</v>
      </c>
      <c r="V28" s="40" t="s">
        <v>140</v>
      </c>
      <c r="W28" s="40" t="s">
        <v>125</v>
      </c>
      <c r="X28" s="40" t="s">
        <v>125</v>
      </c>
    </row>
    <row r="29" customFormat="false" ht="15" hidden="false" customHeight="false" outlineLevel="0" collapsed="false">
      <c r="A29" s="37" t="s">
        <v>210</v>
      </c>
      <c r="B29" s="37" t="s">
        <v>211</v>
      </c>
      <c r="C29" s="37" t="s">
        <v>88</v>
      </c>
      <c r="D29" s="37" t="s">
        <v>212</v>
      </c>
      <c r="E29" s="37" t="s">
        <v>173</v>
      </c>
      <c r="F29" s="37" t="s">
        <v>213</v>
      </c>
      <c r="G29" s="38" t="n">
        <v>46043</v>
      </c>
      <c r="H29" s="26" t="n">
        <v>603.93</v>
      </c>
      <c r="I29" s="26" t="n">
        <v>351.49</v>
      </c>
      <c r="J29" s="26" t="n">
        <v>356.38</v>
      </c>
      <c r="K29" s="26" t="n">
        <f aca="false">I29-J29</f>
        <v>-4.88999999999999</v>
      </c>
      <c r="L29" s="39" t="n">
        <f aca="false">IFERROR(K29/I29,0)</f>
        <v>-0.0139122023386156</v>
      </c>
      <c r="M29" s="26" t="n">
        <v>308.56</v>
      </c>
      <c r="N29" s="26" t="n">
        <f aca="false">I29-M29</f>
        <v>42.93</v>
      </c>
      <c r="O29" s="39" t="n">
        <f aca="false">IFERROR(N29/I29,0)</f>
        <v>0.122137187402202</v>
      </c>
      <c r="P29" s="26" t="n">
        <v>241.94</v>
      </c>
      <c r="Q29" s="26" t="n">
        <f aca="false">I29-P29</f>
        <v>109.55</v>
      </c>
      <c r="R29" s="39" t="n">
        <f aca="false">IFERROR(Q29/I29,0)</f>
        <v>0.311673162821133</v>
      </c>
      <c r="S29" s="26" t="n">
        <v>292.72</v>
      </c>
      <c r="T29" s="26" t="n">
        <f aca="false">I29-S29</f>
        <v>58.77</v>
      </c>
      <c r="U29" s="39" t="n">
        <f aca="false">IFERROR(T29/I29,0)</f>
        <v>0.167202480867165</v>
      </c>
      <c r="V29" s="40" t="s">
        <v>125</v>
      </c>
      <c r="W29" s="40" t="s">
        <v>125</v>
      </c>
      <c r="X29" s="40" t="s">
        <v>140</v>
      </c>
    </row>
    <row r="30" customFormat="false" ht="15" hidden="false" customHeight="false" outlineLevel="0" collapsed="false">
      <c r="A30" s="37" t="s">
        <v>214</v>
      </c>
      <c r="B30" s="37" t="s">
        <v>215</v>
      </c>
      <c r="C30" s="37" t="s">
        <v>87</v>
      </c>
      <c r="D30" s="37" t="s">
        <v>138</v>
      </c>
      <c r="E30" s="37" t="s">
        <v>134</v>
      </c>
      <c r="F30" s="37" t="s">
        <v>216</v>
      </c>
      <c r="G30" s="38" t="n">
        <v>46169</v>
      </c>
      <c r="H30" s="26" t="n">
        <v>14924.87</v>
      </c>
      <c r="I30" s="26" t="n">
        <v>6784.2</v>
      </c>
      <c r="J30" s="26" t="n">
        <v>7096.83</v>
      </c>
      <c r="K30" s="26" t="n">
        <f aca="false">I30-J30</f>
        <v>-312.63</v>
      </c>
      <c r="L30" s="39" t="n">
        <f aca="false">IFERROR(K30/I30,0)</f>
        <v>-0.0460820730520916</v>
      </c>
      <c r="M30" s="26" t="n">
        <v>5565.93</v>
      </c>
      <c r="N30" s="26" t="n">
        <f aca="false">I30-M30</f>
        <v>1218.27</v>
      </c>
      <c r="O30" s="39" t="n">
        <f aca="false">IFERROR(N30/I30,0)</f>
        <v>0.17957459980543</v>
      </c>
      <c r="P30" s="26" t="n">
        <v>4886.43</v>
      </c>
      <c r="Q30" s="26" t="n">
        <f aca="false">I30-P30</f>
        <v>1897.77</v>
      </c>
      <c r="R30" s="39" t="n">
        <f aca="false">IFERROR(Q30/I30,0)</f>
        <v>0.279733793225436</v>
      </c>
      <c r="S30" s="26" t="n">
        <v>5078.94</v>
      </c>
      <c r="T30" s="26" t="n">
        <f aca="false">I30-S30</f>
        <v>1705.26</v>
      </c>
      <c r="U30" s="39" t="n">
        <f aca="false">IFERROR(T30/I30,0)</f>
        <v>0.25135756610949</v>
      </c>
      <c r="V30" s="40" t="s">
        <v>140</v>
      </c>
      <c r="W30" s="40" t="s">
        <v>125</v>
      </c>
      <c r="X30" s="40" t="s">
        <v>125</v>
      </c>
    </row>
    <row r="31" customFormat="false" ht="15" hidden="false" customHeight="false" outlineLevel="0" collapsed="false">
      <c r="A31" s="37" t="s">
        <v>217</v>
      </c>
      <c r="B31" s="37" t="s">
        <v>185</v>
      </c>
      <c r="C31" s="37" t="s">
        <v>86</v>
      </c>
      <c r="D31" s="37" t="s">
        <v>218</v>
      </c>
      <c r="E31" s="37" t="s">
        <v>123</v>
      </c>
      <c r="F31" s="37" t="s">
        <v>147</v>
      </c>
      <c r="G31" s="38" t="n">
        <v>46070</v>
      </c>
      <c r="H31" s="26" t="n">
        <v>174119.88</v>
      </c>
      <c r="I31" s="26" t="n">
        <v>71397.49</v>
      </c>
      <c r="J31" s="26" t="n">
        <v>73918.96</v>
      </c>
      <c r="K31" s="26" t="n">
        <f aca="false">I31-J31</f>
        <v>-2521.47</v>
      </c>
      <c r="L31" s="39" t="n">
        <f aca="false">IFERROR(K31/I31,0)</f>
        <v>-0.0353159473813435</v>
      </c>
      <c r="M31" s="26" t="n">
        <v>63471.42</v>
      </c>
      <c r="N31" s="26" t="n">
        <f aca="false">I31-M31</f>
        <v>7926.07000000001</v>
      </c>
      <c r="O31" s="39" t="n">
        <f aca="false">IFERROR(N31/I31,0)</f>
        <v>0.11101328632141</v>
      </c>
      <c r="P31" s="26" t="n">
        <v>53025.73</v>
      </c>
      <c r="Q31" s="26" t="n">
        <f aca="false">I31-P31</f>
        <v>18371.76</v>
      </c>
      <c r="R31" s="39" t="n">
        <f aca="false">IFERROR(Q31/I31,0)</f>
        <v>0.257316608749131</v>
      </c>
      <c r="S31" s="26" t="n">
        <v>56681.69</v>
      </c>
      <c r="T31" s="26" t="n">
        <f aca="false">I31-S31</f>
        <v>14715.8</v>
      </c>
      <c r="U31" s="39" t="n">
        <f aca="false">IFERROR(T31/I31,0)</f>
        <v>0.206110887091409</v>
      </c>
      <c r="V31" s="40" t="s">
        <v>125</v>
      </c>
      <c r="W31" s="40" t="s">
        <v>125</v>
      </c>
      <c r="X31" s="40" t="s">
        <v>125</v>
      </c>
    </row>
    <row r="32" customFormat="false" ht="15" hidden="false" customHeight="false" outlineLevel="0" collapsed="false">
      <c r="A32" s="37" t="s">
        <v>219</v>
      </c>
      <c r="B32" s="37" t="s">
        <v>220</v>
      </c>
      <c r="C32" s="37" t="s">
        <v>87</v>
      </c>
      <c r="D32" s="37" t="s">
        <v>221</v>
      </c>
      <c r="E32" s="37" t="s">
        <v>134</v>
      </c>
      <c r="F32" s="37" t="s">
        <v>139</v>
      </c>
      <c r="G32" s="38" t="n">
        <v>46131</v>
      </c>
      <c r="H32" s="26" t="n">
        <v>6340.39</v>
      </c>
      <c r="I32" s="26" t="n">
        <v>3367.28</v>
      </c>
      <c r="J32" s="26" t="n">
        <v>3507.29</v>
      </c>
      <c r="K32" s="26" t="n">
        <f aca="false">I32-J32</f>
        <v>-140.01</v>
      </c>
      <c r="L32" s="39" t="n">
        <f aca="false">IFERROR(K32/I32,0)</f>
        <v>-0.0415795538238578</v>
      </c>
      <c r="M32" s="26" t="n">
        <v>2717.68</v>
      </c>
      <c r="N32" s="26" t="n">
        <f aca="false">I32-M32</f>
        <v>649.6</v>
      </c>
      <c r="O32" s="39" t="n">
        <f aca="false">IFERROR(N32/I32,0)</f>
        <v>0.192915350074838</v>
      </c>
      <c r="P32" s="26" t="n">
        <v>2199.91</v>
      </c>
      <c r="Q32" s="26" t="n">
        <f aca="false">I32-P32</f>
        <v>1167.37</v>
      </c>
      <c r="R32" s="39" t="n">
        <f aca="false">IFERROR(Q32/I32,0)</f>
        <v>0.346680406737783</v>
      </c>
      <c r="S32" s="26" t="n">
        <v>2694.76</v>
      </c>
      <c r="T32" s="26" t="n">
        <f aca="false">I32-S32</f>
        <v>672.52</v>
      </c>
      <c r="U32" s="39" t="n">
        <f aca="false">IFERROR(T32/I32,0)</f>
        <v>0.199722030837946</v>
      </c>
      <c r="V32" s="40" t="s">
        <v>125</v>
      </c>
      <c r="W32" s="40" t="s">
        <v>125</v>
      </c>
      <c r="X32" s="40" t="s">
        <v>140</v>
      </c>
    </row>
    <row r="33" customFormat="false" ht="15" hidden="false" customHeight="false" outlineLevel="0" collapsed="false">
      <c r="A33" s="37" t="s">
        <v>222</v>
      </c>
      <c r="B33" s="37" t="s">
        <v>223</v>
      </c>
      <c r="C33" s="37" t="s">
        <v>89</v>
      </c>
      <c r="D33" s="37" t="s">
        <v>186</v>
      </c>
      <c r="E33" s="37" t="s">
        <v>129</v>
      </c>
      <c r="F33" s="37" t="s">
        <v>177</v>
      </c>
      <c r="G33" s="38" t="n">
        <v>46001</v>
      </c>
      <c r="H33" s="26" t="n">
        <v>2840.84</v>
      </c>
      <c r="I33" s="26" t="n">
        <v>1453.04</v>
      </c>
      <c r="J33" s="26" t="n">
        <v>1518.5</v>
      </c>
      <c r="K33" s="26" t="n">
        <f aca="false">I33-J33</f>
        <v>-65.46</v>
      </c>
      <c r="L33" s="39" t="n">
        <f aca="false">IFERROR(K33/I33,0)</f>
        <v>-0.0450503771403403</v>
      </c>
      <c r="M33" s="26" t="n">
        <v>1223.66</v>
      </c>
      <c r="N33" s="26" t="n">
        <f aca="false">I33-M33</f>
        <v>229.38</v>
      </c>
      <c r="O33" s="39" t="n">
        <f aca="false">IFERROR(N33/I33,0)</f>
        <v>0.157862137312118</v>
      </c>
      <c r="P33" s="26" t="n">
        <v>969.66</v>
      </c>
      <c r="Q33" s="26" t="n">
        <f aca="false">I33-P33</f>
        <v>483.38</v>
      </c>
      <c r="R33" s="39" t="n">
        <f aca="false">IFERROR(Q33/I33,0)</f>
        <v>0.332668061443594</v>
      </c>
      <c r="S33" s="26" t="n">
        <v>1141.74</v>
      </c>
      <c r="T33" s="26" t="n">
        <f aca="false">I33-S33</f>
        <v>311.3</v>
      </c>
      <c r="U33" s="39" t="n">
        <f aca="false">IFERROR(T33/I33,0)</f>
        <v>0.214240488906018</v>
      </c>
      <c r="V33" s="40" t="s">
        <v>125</v>
      </c>
      <c r="W33" s="40" t="s">
        <v>125</v>
      </c>
      <c r="X33" s="40" t="s">
        <v>125</v>
      </c>
    </row>
    <row r="34" customFormat="false" ht="15" hidden="false" customHeight="false" outlineLevel="0" collapsed="false">
      <c r="A34" s="37" t="s">
        <v>224</v>
      </c>
      <c r="B34" s="37" t="s">
        <v>225</v>
      </c>
      <c r="C34" s="37" t="s">
        <v>88</v>
      </c>
      <c r="D34" s="37" t="s">
        <v>206</v>
      </c>
      <c r="E34" s="37" t="s">
        <v>173</v>
      </c>
      <c r="F34" s="37" t="s">
        <v>226</v>
      </c>
      <c r="G34" s="38" t="n">
        <v>45874</v>
      </c>
      <c r="H34" s="26" t="n">
        <v>1789.44</v>
      </c>
      <c r="I34" s="26" t="n">
        <v>805.85</v>
      </c>
      <c r="J34" s="26" t="n">
        <v>842.54</v>
      </c>
      <c r="K34" s="26" t="n">
        <f aca="false">I34-J34</f>
        <v>-36.6899999999999</v>
      </c>
      <c r="L34" s="39" t="n">
        <f aca="false">IFERROR(K34/I34,0)</f>
        <v>-0.0455295650555314</v>
      </c>
      <c r="M34" s="26" t="n">
        <v>728.36</v>
      </c>
      <c r="N34" s="26" t="n">
        <f aca="false">I34-M34</f>
        <v>77.49</v>
      </c>
      <c r="O34" s="39" t="n">
        <f aca="false">IFERROR(N34/I34,0)</f>
        <v>0.0961593348638084</v>
      </c>
      <c r="P34" s="26" t="n">
        <v>617.55</v>
      </c>
      <c r="Q34" s="26" t="n">
        <f aca="false">I34-P34</f>
        <v>188.3</v>
      </c>
      <c r="R34" s="39" t="n">
        <f aca="false">IFERROR(Q34/I34,0)</f>
        <v>0.233666315071043</v>
      </c>
      <c r="S34" s="26" t="n">
        <v>668.08</v>
      </c>
      <c r="T34" s="26" t="n">
        <f aca="false">I34-S34</f>
        <v>137.77</v>
      </c>
      <c r="U34" s="39" t="n">
        <f aca="false">IFERROR(T34/I34,0)</f>
        <v>0.170962337904076</v>
      </c>
      <c r="V34" s="40" t="s">
        <v>140</v>
      </c>
      <c r="W34" s="40" t="s">
        <v>125</v>
      </c>
      <c r="X34" s="40" t="s">
        <v>125</v>
      </c>
    </row>
    <row r="35" customFormat="false" ht="15" hidden="false" customHeight="false" outlineLevel="0" collapsed="false">
      <c r="A35" s="37" t="s">
        <v>227</v>
      </c>
      <c r="B35" s="37" t="s">
        <v>228</v>
      </c>
      <c r="C35" s="37" t="s">
        <v>88</v>
      </c>
      <c r="D35" s="37" t="s">
        <v>172</v>
      </c>
      <c r="E35" s="37" t="s">
        <v>173</v>
      </c>
      <c r="F35" s="37" t="s">
        <v>209</v>
      </c>
      <c r="G35" s="38" t="n">
        <v>45915</v>
      </c>
      <c r="H35" s="26" t="n">
        <v>1614.56</v>
      </c>
      <c r="I35" s="26" t="n">
        <v>811.14</v>
      </c>
      <c r="J35" s="26" t="n">
        <v>839.1</v>
      </c>
      <c r="K35" s="26" t="n">
        <f aca="false">I35-J35</f>
        <v>-27.96</v>
      </c>
      <c r="L35" s="39" t="n">
        <f aca="false">IFERROR(K35/I35,0)</f>
        <v>-0.0344700051778978</v>
      </c>
      <c r="M35" s="26" t="n">
        <v>734.22</v>
      </c>
      <c r="N35" s="26" t="n">
        <f aca="false">I35-M35</f>
        <v>76.92</v>
      </c>
      <c r="O35" s="39" t="n">
        <f aca="false">IFERROR(N35/I35,0)</f>
        <v>0.0948294992233153</v>
      </c>
      <c r="P35" s="26" t="n">
        <v>593.2</v>
      </c>
      <c r="Q35" s="26" t="n">
        <f aca="false">I35-P35</f>
        <v>217.94</v>
      </c>
      <c r="R35" s="39" t="n">
        <f aca="false">IFERROR(Q35/I35,0)</f>
        <v>0.268683581132727</v>
      </c>
      <c r="S35" s="26" t="n">
        <v>601.18</v>
      </c>
      <c r="T35" s="26" t="n">
        <f aca="false">I35-S35</f>
        <v>209.96</v>
      </c>
      <c r="U35" s="39" t="n">
        <f aca="false">IFERROR(T35/I35,0)</f>
        <v>0.258845575363069</v>
      </c>
      <c r="V35" s="40" t="s">
        <v>125</v>
      </c>
      <c r="W35" s="40" t="s">
        <v>140</v>
      </c>
      <c r="X35" s="40" t="s">
        <v>125</v>
      </c>
    </row>
    <row r="36" customFormat="false" ht="15" hidden="false" customHeight="false" outlineLevel="0" collapsed="false">
      <c r="A36" s="37" t="s">
        <v>229</v>
      </c>
      <c r="B36" s="37" t="s">
        <v>132</v>
      </c>
      <c r="C36" s="37" t="s">
        <v>87</v>
      </c>
      <c r="D36" s="37" t="s">
        <v>133</v>
      </c>
      <c r="E36" s="37" t="s">
        <v>134</v>
      </c>
      <c r="F36" s="37" t="s">
        <v>216</v>
      </c>
      <c r="G36" s="38" t="n">
        <v>46123</v>
      </c>
      <c r="H36" s="26" t="n">
        <v>22639.12</v>
      </c>
      <c r="I36" s="26" t="n">
        <v>8669.14</v>
      </c>
      <c r="J36" s="26" t="n">
        <v>8583.57</v>
      </c>
      <c r="K36" s="26" t="n">
        <f aca="false">I36-J36</f>
        <v>85.5699999999997</v>
      </c>
      <c r="L36" s="39" t="n">
        <f aca="false">IFERROR(K36/I36,0)</f>
        <v>0.00987064460834635</v>
      </c>
      <c r="M36" s="26" t="n">
        <v>7273.77</v>
      </c>
      <c r="N36" s="26" t="n">
        <f aca="false">I36-M36</f>
        <v>1395.37</v>
      </c>
      <c r="O36" s="39" t="n">
        <f aca="false">IFERROR(N36/I36,0)</f>
        <v>0.160958295747906</v>
      </c>
      <c r="P36" s="26" t="n">
        <v>6499.36</v>
      </c>
      <c r="Q36" s="26" t="n">
        <f aca="false">I36-P36</f>
        <v>2169.78</v>
      </c>
      <c r="R36" s="39" t="n">
        <f aca="false">IFERROR(Q36/I36,0)</f>
        <v>0.250287802480984</v>
      </c>
      <c r="S36" s="26" t="n">
        <v>7058.55</v>
      </c>
      <c r="T36" s="26" t="n">
        <f aca="false">I36-S36</f>
        <v>1610.59</v>
      </c>
      <c r="U36" s="39" t="n">
        <f aca="false">IFERROR(T36/I36,0)</f>
        <v>0.185784287714814</v>
      </c>
      <c r="V36" s="40" t="s">
        <v>125</v>
      </c>
      <c r="W36" s="40" t="s">
        <v>125</v>
      </c>
      <c r="X36" s="40" t="s">
        <v>125</v>
      </c>
    </row>
    <row r="37" customFormat="false" ht="15" hidden="false" customHeight="false" outlineLevel="0" collapsed="false">
      <c r="A37" s="37" t="s">
        <v>230</v>
      </c>
      <c r="B37" s="37" t="s">
        <v>231</v>
      </c>
      <c r="C37" s="37" t="s">
        <v>89</v>
      </c>
      <c r="D37" s="37" t="s">
        <v>176</v>
      </c>
      <c r="E37" s="37" t="s">
        <v>129</v>
      </c>
      <c r="F37" s="37" t="s">
        <v>187</v>
      </c>
      <c r="G37" s="38" t="n">
        <v>46200</v>
      </c>
      <c r="H37" s="26" t="n">
        <v>4309.91</v>
      </c>
      <c r="I37" s="26" t="n">
        <v>1926.09</v>
      </c>
      <c r="J37" s="26" t="n">
        <v>1945.64</v>
      </c>
      <c r="K37" s="26" t="n">
        <f aca="false">I37-J37</f>
        <v>-19.5500000000002</v>
      </c>
      <c r="L37" s="39" t="n">
        <f aca="false">IFERROR(K37/I37,0)</f>
        <v>-0.0101500968282895</v>
      </c>
      <c r="M37" s="26" t="n">
        <v>1770.66</v>
      </c>
      <c r="N37" s="26" t="n">
        <f aca="false">I37-M37</f>
        <v>155.43</v>
      </c>
      <c r="O37" s="39" t="n">
        <f aca="false">IFERROR(N37/I37,0)</f>
        <v>0.0806971636839399</v>
      </c>
      <c r="P37" s="26" t="n">
        <v>1272.13</v>
      </c>
      <c r="Q37" s="26" t="n">
        <f aca="false">I37-P37</f>
        <v>653.96</v>
      </c>
      <c r="R37" s="39" t="n">
        <f aca="false">IFERROR(Q37/I37,0)</f>
        <v>0.339527228738013</v>
      </c>
      <c r="S37" s="26" t="n">
        <v>1440.91</v>
      </c>
      <c r="T37" s="26" t="n">
        <f aca="false">I37-S37</f>
        <v>485.18</v>
      </c>
      <c r="U37" s="39" t="n">
        <f aca="false">IFERROR(T37/I37,0)</f>
        <v>0.251898924764679</v>
      </c>
      <c r="V37" s="40" t="s">
        <v>125</v>
      </c>
      <c r="W37" s="40" t="s">
        <v>125</v>
      </c>
      <c r="X37" s="40" t="s">
        <v>125</v>
      </c>
    </row>
    <row r="38" customFormat="false" ht="15" hidden="false" customHeight="false" outlineLevel="0" collapsed="false">
      <c r="A38" s="37" t="s">
        <v>232</v>
      </c>
      <c r="B38" s="37" t="s">
        <v>233</v>
      </c>
      <c r="C38" s="37" t="s">
        <v>88</v>
      </c>
      <c r="D38" s="37" t="s">
        <v>234</v>
      </c>
      <c r="E38" s="37" t="s">
        <v>173</v>
      </c>
      <c r="F38" s="37" t="s">
        <v>174</v>
      </c>
      <c r="G38" s="38" t="n">
        <v>45955</v>
      </c>
      <c r="H38" s="26" t="n">
        <v>711.01</v>
      </c>
      <c r="I38" s="26" t="n">
        <v>431.92</v>
      </c>
      <c r="J38" s="26" t="n">
        <v>430.4</v>
      </c>
      <c r="K38" s="26" t="n">
        <f aca="false">I38-J38</f>
        <v>1.52000000000004</v>
      </c>
      <c r="L38" s="39" t="n">
        <f aca="false">IFERROR(K38/I38,0)</f>
        <v>0.00351917021670689</v>
      </c>
      <c r="M38" s="26" t="n">
        <v>404.8</v>
      </c>
      <c r="N38" s="26" t="n">
        <f aca="false">I38-M38</f>
        <v>27.12</v>
      </c>
      <c r="O38" s="39" t="n">
        <f aca="false">IFERROR(N38/I38,0)</f>
        <v>0.0627894054454529</v>
      </c>
      <c r="P38" s="26" t="n">
        <v>338.21</v>
      </c>
      <c r="Q38" s="26" t="n">
        <f aca="false">I38-P38</f>
        <v>93.71</v>
      </c>
      <c r="R38" s="39" t="n">
        <f aca="false">IFERROR(Q38/I38,0)</f>
        <v>0.216961474347101</v>
      </c>
      <c r="S38" s="26" t="n">
        <v>331.15</v>
      </c>
      <c r="T38" s="26" t="n">
        <f aca="false">I38-S38</f>
        <v>100.77</v>
      </c>
      <c r="U38" s="39" t="n">
        <f aca="false">IFERROR(T38/I38,0)</f>
        <v>0.233307093906279</v>
      </c>
      <c r="V38" s="40" t="s">
        <v>125</v>
      </c>
      <c r="W38" s="40" t="s">
        <v>140</v>
      </c>
      <c r="X38" s="40" t="s">
        <v>125</v>
      </c>
    </row>
    <row r="39" customFormat="false" ht="15" hidden="false" customHeight="false" outlineLevel="0" collapsed="false">
      <c r="A39" s="37" t="s">
        <v>235</v>
      </c>
      <c r="B39" s="37" t="s">
        <v>236</v>
      </c>
      <c r="C39" s="37" t="s">
        <v>87</v>
      </c>
      <c r="D39" s="37" t="s">
        <v>180</v>
      </c>
      <c r="E39" s="37" t="s">
        <v>134</v>
      </c>
      <c r="F39" s="37" t="s">
        <v>139</v>
      </c>
      <c r="G39" s="38" t="n">
        <v>45936</v>
      </c>
      <c r="H39" s="26" t="n">
        <v>21704.85</v>
      </c>
      <c r="I39" s="26" t="n">
        <v>7831.85</v>
      </c>
      <c r="J39" s="26" t="n">
        <v>8060.6</v>
      </c>
      <c r="K39" s="26" t="n">
        <f aca="false">I39-J39</f>
        <v>-228.75</v>
      </c>
      <c r="L39" s="39" t="n">
        <f aca="false">IFERROR(K39/I39,0)</f>
        <v>-0.0292076584714978</v>
      </c>
      <c r="M39" s="26" t="n">
        <v>6771.56</v>
      </c>
      <c r="N39" s="26" t="n">
        <f aca="false">I39-M39</f>
        <v>1060.29</v>
      </c>
      <c r="O39" s="39" t="n">
        <f aca="false">IFERROR(N39/I39,0)</f>
        <v>0.135381806342052</v>
      </c>
      <c r="P39" s="26" t="n">
        <v>4922.21</v>
      </c>
      <c r="Q39" s="26" t="n">
        <f aca="false">I39-P39</f>
        <v>2909.64</v>
      </c>
      <c r="R39" s="39" t="n">
        <f aca="false">IFERROR(Q39/I39,0)</f>
        <v>0.371513754732279</v>
      </c>
      <c r="S39" s="26" t="n">
        <v>6323.32</v>
      </c>
      <c r="T39" s="26" t="n">
        <f aca="false">I39-S39</f>
        <v>1508.53</v>
      </c>
      <c r="U39" s="39" t="n">
        <f aca="false">IFERROR(T39/I39,0)</f>
        <v>0.192614771733371</v>
      </c>
      <c r="V39" s="40" t="s">
        <v>125</v>
      </c>
      <c r="W39" s="40" t="s">
        <v>125</v>
      </c>
      <c r="X39" s="40" t="s">
        <v>125</v>
      </c>
    </row>
    <row r="40" customFormat="false" ht="15" hidden="false" customHeight="false" outlineLevel="0" collapsed="false">
      <c r="A40" s="37" t="s">
        <v>237</v>
      </c>
      <c r="B40" s="37" t="s">
        <v>238</v>
      </c>
      <c r="C40" s="37" t="s">
        <v>89</v>
      </c>
      <c r="D40" s="37" t="s">
        <v>143</v>
      </c>
      <c r="E40" s="37" t="s">
        <v>129</v>
      </c>
      <c r="F40" s="37" t="s">
        <v>194</v>
      </c>
      <c r="G40" s="38" t="n">
        <v>46065</v>
      </c>
      <c r="H40" s="26" t="n">
        <v>2495.84</v>
      </c>
      <c r="I40" s="26" t="n">
        <v>1414.5</v>
      </c>
      <c r="J40" s="26" t="n">
        <v>1426.14</v>
      </c>
      <c r="K40" s="26" t="n">
        <f aca="false">I40-J40</f>
        <v>-11.6400000000001</v>
      </c>
      <c r="L40" s="39" t="n">
        <f aca="false">IFERROR(K40/I40,0)</f>
        <v>-0.00822905620360559</v>
      </c>
      <c r="M40" s="26" t="n">
        <v>1203.77</v>
      </c>
      <c r="N40" s="26" t="n">
        <f aca="false">I40-M40</f>
        <v>210.73</v>
      </c>
      <c r="O40" s="39" t="n">
        <f aca="false">IFERROR(N40/I40,0)</f>
        <v>0.148978437610463</v>
      </c>
      <c r="P40" s="26" t="n">
        <v>1063.91</v>
      </c>
      <c r="Q40" s="26" t="n">
        <f aca="false">I40-P40</f>
        <v>350.59</v>
      </c>
      <c r="R40" s="39" t="n">
        <f aca="false">IFERROR(Q40/I40,0)</f>
        <v>0.247854365500177</v>
      </c>
      <c r="S40" s="26" t="n">
        <v>1135.56</v>
      </c>
      <c r="T40" s="26" t="n">
        <f aca="false">I40-S40</f>
        <v>278.94</v>
      </c>
      <c r="U40" s="39" t="n">
        <f aca="false">IFERROR(T40/I40,0)</f>
        <v>0.197200424178155</v>
      </c>
      <c r="V40" s="40" t="s">
        <v>125</v>
      </c>
      <c r="W40" s="40" t="s">
        <v>125</v>
      </c>
      <c r="X40" s="40" t="s">
        <v>140</v>
      </c>
    </row>
    <row r="41" customFormat="false" ht="15" hidden="false" customHeight="false" outlineLevel="0" collapsed="false">
      <c r="A41" s="37" t="s">
        <v>239</v>
      </c>
      <c r="B41" s="37" t="s">
        <v>240</v>
      </c>
      <c r="C41" s="37" t="s">
        <v>88</v>
      </c>
      <c r="D41" s="37" t="s">
        <v>190</v>
      </c>
      <c r="E41" s="37" t="s">
        <v>173</v>
      </c>
      <c r="F41" s="37" t="s">
        <v>174</v>
      </c>
      <c r="G41" s="38" t="n">
        <v>45861</v>
      </c>
      <c r="H41" s="26" t="n">
        <v>1515.63</v>
      </c>
      <c r="I41" s="26" t="n">
        <v>786.82</v>
      </c>
      <c r="J41" s="26" t="n">
        <v>816.08</v>
      </c>
      <c r="K41" s="26" t="n">
        <f aca="false">I41-J41</f>
        <v>-29.26</v>
      </c>
      <c r="L41" s="39" t="n">
        <f aca="false">IFERROR(K41/I41,0)</f>
        <v>-0.0371876668107064</v>
      </c>
      <c r="M41" s="26" t="n">
        <v>703.13</v>
      </c>
      <c r="N41" s="26" t="n">
        <f aca="false">I41-M41</f>
        <v>83.6900000000001</v>
      </c>
      <c r="O41" s="39" t="n">
        <f aca="false">IFERROR(N41/I41,0)</f>
        <v>0.106364861086398</v>
      </c>
      <c r="P41" s="26" t="n">
        <v>627.97</v>
      </c>
      <c r="Q41" s="26" t="n">
        <f aca="false">I41-P41</f>
        <v>158.85</v>
      </c>
      <c r="R41" s="39" t="n">
        <f aca="false">IFERROR(Q41/I41,0)</f>
        <v>0.201888614930988</v>
      </c>
      <c r="S41" s="26" t="n">
        <v>593.17</v>
      </c>
      <c r="T41" s="26" t="n">
        <f aca="false">I41-S41</f>
        <v>193.65</v>
      </c>
      <c r="U41" s="39" t="n">
        <f aca="false">IFERROR(T41/I41,0)</f>
        <v>0.246117282224651</v>
      </c>
      <c r="V41" s="40" t="s">
        <v>125</v>
      </c>
      <c r="W41" s="40" t="s">
        <v>125</v>
      </c>
      <c r="X41" s="40" t="s">
        <v>125</v>
      </c>
    </row>
    <row r="42" customFormat="false" ht="15" hidden="false" customHeight="false" outlineLevel="0" collapsed="false">
      <c r="A42" s="37" t="s">
        <v>241</v>
      </c>
      <c r="B42" s="37" t="s">
        <v>200</v>
      </c>
      <c r="C42" s="37" t="s">
        <v>88</v>
      </c>
      <c r="D42" s="37" t="s">
        <v>172</v>
      </c>
      <c r="E42" s="37" t="s">
        <v>173</v>
      </c>
      <c r="F42" s="37" t="s">
        <v>174</v>
      </c>
      <c r="G42" s="38" t="n">
        <v>45905</v>
      </c>
      <c r="H42" s="26" t="n">
        <v>1293.2</v>
      </c>
      <c r="I42" s="26" t="n">
        <v>646.89</v>
      </c>
      <c r="J42" s="26" t="n">
        <v>675.67</v>
      </c>
      <c r="K42" s="26" t="n">
        <f aca="false">I42-J42</f>
        <v>-28.78</v>
      </c>
      <c r="L42" s="39" t="n">
        <f aca="false">IFERROR(K42/I42,0)</f>
        <v>-0.0444897896087433</v>
      </c>
      <c r="M42" s="26" t="n">
        <v>553.14</v>
      </c>
      <c r="N42" s="26" t="n">
        <f aca="false">I42-M42</f>
        <v>93.75</v>
      </c>
      <c r="O42" s="39" t="n">
        <f aca="false">IFERROR(N42/I42,0)</f>
        <v>0.144924175671289</v>
      </c>
      <c r="P42" s="26" t="n">
        <v>489.12</v>
      </c>
      <c r="Q42" s="26" t="n">
        <f aca="false">I42-P42</f>
        <v>157.77</v>
      </c>
      <c r="R42" s="39" t="n">
        <f aca="false">IFERROR(Q42/I42,0)</f>
        <v>0.243889996753698</v>
      </c>
      <c r="S42" s="26" t="n">
        <v>543.08</v>
      </c>
      <c r="T42" s="26" t="n">
        <f aca="false">I42-S42</f>
        <v>103.81</v>
      </c>
      <c r="U42" s="39" t="n">
        <f aca="false">IFERROR(T42/I42,0)</f>
        <v>0.160475505881989</v>
      </c>
      <c r="V42" s="40" t="s">
        <v>125</v>
      </c>
      <c r="W42" s="40" t="s">
        <v>140</v>
      </c>
      <c r="X42" s="40" t="s">
        <v>125</v>
      </c>
    </row>
    <row r="43" customFormat="false" ht="15" hidden="false" customHeight="false" outlineLevel="0" collapsed="false">
      <c r="A43" s="37" t="s">
        <v>242</v>
      </c>
      <c r="B43" s="37" t="s">
        <v>243</v>
      </c>
      <c r="C43" s="37" t="s">
        <v>89</v>
      </c>
      <c r="D43" s="37" t="s">
        <v>128</v>
      </c>
      <c r="E43" s="37" t="s">
        <v>129</v>
      </c>
      <c r="F43" s="37" t="s">
        <v>194</v>
      </c>
      <c r="G43" s="38" t="n">
        <v>45878</v>
      </c>
      <c r="H43" s="26" t="n">
        <v>2755.41</v>
      </c>
      <c r="I43" s="26" t="n">
        <v>1516.45</v>
      </c>
      <c r="J43" s="26" t="n">
        <v>1577.7</v>
      </c>
      <c r="K43" s="26" t="n">
        <f aca="false">I43-J43</f>
        <v>-61.25</v>
      </c>
      <c r="L43" s="39" t="n">
        <f aca="false">IFERROR(K43/I43,0)</f>
        <v>-0.0403903854396782</v>
      </c>
      <c r="M43" s="26" t="n">
        <v>1300.71</v>
      </c>
      <c r="N43" s="26" t="n">
        <f aca="false">I43-M43</f>
        <v>215.74</v>
      </c>
      <c r="O43" s="39" t="n">
        <f aca="false">IFERROR(N43/I43,0)</f>
        <v>0.142266477628672</v>
      </c>
      <c r="P43" s="26" t="n">
        <v>1139</v>
      </c>
      <c r="Q43" s="26" t="n">
        <f aca="false">I43-P43</f>
        <v>377.45</v>
      </c>
      <c r="R43" s="39" t="n">
        <f aca="false">IFERROR(Q43/I43,0)</f>
        <v>0.248903689538066</v>
      </c>
      <c r="S43" s="26" t="n">
        <v>1195.19</v>
      </c>
      <c r="T43" s="26" t="n">
        <f aca="false">I43-S43</f>
        <v>321.26</v>
      </c>
      <c r="U43" s="39" t="n">
        <f aca="false">IFERROR(T43/I43,0)</f>
        <v>0.211850044511853</v>
      </c>
      <c r="V43" s="40" t="s">
        <v>125</v>
      </c>
      <c r="W43" s="40" t="s">
        <v>125</v>
      </c>
      <c r="X43" s="40" t="s">
        <v>125</v>
      </c>
    </row>
    <row r="44" customFormat="false" ht="15" hidden="false" customHeight="false" outlineLevel="0" collapsed="false">
      <c r="A44" s="37" t="s">
        <v>244</v>
      </c>
      <c r="B44" s="37" t="s">
        <v>245</v>
      </c>
      <c r="C44" s="37" t="s">
        <v>87</v>
      </c>
      <c r="D44" s="37" t="s">
        <v>221</v>
      </c>
      <c r="E44" s="37" t="s">
        <v>134</v>
      </c>
      <c r="F44" s="37" t="s">
        <v>203</v>
      </c>
      <c r="G44" s="38" t="n">
        <v>45873</v>
      </c>
      <c r="H44" s="26" t="n">
        <v>2013.44</v>
      </c>
      <c r="I44" s="26" t="n">
        <v>896.7</v>
      </c>
      <c r="J44" s="26" t="n">
        <v>937.2</v>
      </c>
      <c r="K44" s="26" t="n">
        <f aca="false">I44-J44</f>
        <v>-40.5</v>
      </c>
      <c r="L44" s="39" t="n">
        <f aca="false">IFERROR(K44/I44,0)</f>
        <v>-0.0451656072264972</v>
      </c>
      <c r="M44" s="26" t="n">
        <v>764.99</v>
      </c>
      <c r="N44" s="26" t="n">
        <f aca="false">I44-M44</f>
        <v>131.71</v>
      </c>
      <c r="O44" s="39" t="n">
        <f aca="false">IFERROR(N44/I44,0)</f>
        <v>0.146883015501283</v>
      </c>
      <c r="P44" s="26" t="n">
        <v>563.09</v>
      </c>
      <c r="Q44" s="26" t="n">
        <f aca="false">I44-P44</f>
        <v>333.61</v>
      </c>
      <c r="R44" s="39" t="n">
        <f aca="false">IFERROR(Q44/I44,0)</f>
        <v>0.372041931526709</v>
      </c>
      <c r="S44" s="26" t="n">
        <v>700.27</v>
      </c>
      <c r="T44" s="26" t="n">
        <f aca="false">I44-S44</f>
        <v>196.43</v>
      </c>
      <c r="U44" s="39" t="n">
        <f aca="false">IFERROR(T44/I44,0)</f>
        <v>0.219058771049403</v>
      </c>
      <c r="V44" s="40" t="s">
        <v>125</v>
      </c>
      <c r="W44" s="40" t="s">
        <v>125</v>
      </c>
      <c r="X44" s="40" t="s">
        <v>140</v>
      </c>
    </row>
    <row r="45" customFormat="false" ht="15" hidden="false" customHeight="false" outlineLevel="0" collapsed="false">
      <c r="A45" s="37" t="s">
        <v>246</v>
      </c>
      <c r="B45" s="37" t="s">
        <v>245</v>
      </c>
      <c r="C45" s="37" t="s">
        <v>87</v>
      </c>
      <c r="D45" s="37" t="s">
        <v>180</v>
      </c>
      <c r="E45" s="37" t="s">
        <v>134</v>
      </c>
      <c r="F45" s="37" t="s">
        <v>203</v>
      </c>
      <c r="G45" s="38" t="n">
        <v>45948</v>
      </c>
      <c r="H45" s="26" t="n">
        <v>8059.93</v>
      </c>
      <c r="I45" s="26" t="n">
        <v>3330.65</v>
      </c>
      <c r="J45" s="26" t="n">
        <v>3447.6</v>
      </c>
      <c r="K45" s="26" t="n">
        <f aca="false">I45-J45</f>
        <v>-116.95</v>
      </c>
      <c r="L45" s="39" t="n">
        <f aca="false">IFERROR(K45/I45,0)</f>
        <v>-0.0351132661792743</v>
      </c>
      <c r="M45" s="26" t="n">
        <v>2688.68</v>
      </c>
      <c r="N45" s="26" t="n">
        <f aca="false">I45-M45</f>
        <v>641.97</v>
      </c>
      <c r="O45" s="39" t="n">
        <f aca="false">IFERROR(N45/I45,0)</f>
        <v>0.192746160659331</v>
      </c>
      <c r="P45" s="26" t="n">
        <v>2278.7</v>
      </c>
      <c r="Q45" s="26" t="n">
        <f aca="false">I45-P45</f>
        <v>1051.95</v>
      </c>
      <c r="R45" s="39" t="n">
        <f aca="false">IFERROR(Q45/I45,0)</f>
        <v>0.31583925059673</v>
      </c>
      <c r="S45" s="26" t="n">
        <v>2797.13</v>
      </c>
      <c r="T45" s="26" t="n">
        <f aca="false">I45-S45</f>
        <v>533.52</v>
      </c>
      <c r="U45" s="39" t="n">
        <f aca="false">IFERROR(T45/I45,0)</f>
        <v>0.160184948883851</v>
      </c>
      <c r="V45" s="40" t="s">
        <v>125</v>
      </c>
      <c r="W45" s="40" t="s">
        <v>125</v>
      </c>
      <c r="X45" s="40" t="s">
        <v>125</v>
      </c>
    </row>
    <row r="46" customFormat="false" ht="15" hidden="false" customHeight="false" outlineLevel="0" collapsed="false">
      <c r="A46" s="37" t="s">
        <v>247</v>
      </c>
      <c r="B46" s="37" t="s">
        <v>248</v>
      </c>
      <c r="C46" s="37" t="s">
        <v>86</v>
      </c>
      <c r="D46" s="37" t="s">
        <v>150</v>
      </c>
      <c r="E46" s="37" t="s">
        <v>123</v>
      </c>
      <c r="F46" s="37" t="s">
        <v>163</v>
      </c>
      <c r="G46" s="38" t="n">
        <v>46000</v>
      </c>
      <c r="H46" s="26" t="n">
        <v>178271.35</v>
      </c>
      <c r="I46" s="26" t="n">
        <v>65889.08</v>
      </c>
      <c r="J46" s="26" t="n">
        <v>67432</v>
      </c>
      <c r="K46" s="26" t="n">
        <f aca="false">I46-J46</f>
        <v>-1542.92</v>
      </c>
      <c r="L46" s="39" t="n">
        <f aca="false">IFERROR(K46/I46,0)</f>
        <v>-0.0234169303927145</v>
      </c>
      <c r="M46" s="26" t="n">
        <v>58539.91</v>
      </c>
      <c r="N46" s="26" t="n">
        <f aca="false">I46-M46</f>
        <v>7349.17</v>
      </c>
      <c r="O46" s="39" t="n">
        <f aca="false">IFERROR(N46/I46,0)</f>
        <v>0.111538512906843</v>
      </c>
      <c r="P46" s="26" t="n">
        <v>50047.42</v>
      </c>
      <c r="Q46" s="26" t="n">
        <f aca="false">I46-P46</f>
        <v>15841.66</v>
      </c>
      <c r="R46" s="39" t="n">
        <f aca="false">IFERROR(Q46/I46,0)</f>
        <v>0.240429218316601</v>
      </c>
      <c r="S46" s="26" t="n">
        <v>55041.1</v>
      </c>
      <c r="T46" s="26" t="n">
        <f aca="false">I46-S46</f>
        <v>10847.98</v>
      </c>
      <c r="U46" s="39" t="n">
        <f aca="false">IFERROR(T46/I46,0)</f>
        <v>0.164640028362818</v>
      </c>
      <c r="V46" s="40" t="s">
        <v>125</v>
      </c>
      <c r="W46" s="40" t="s">
        <v>140</v>
      </c>
      <c r="X46" s="40" t="s">
        <v>125</v>
      </c>
    </row>
    <row r="47" customFormat="false" ht="15" hidden="false" customHeight="false" outlineLevel="0" collapsed="false">
      <c r="A47" s="37" t="s">
        <v>249</v>
      </c>
      <c r="B47" s="37" t="s">
        <v>250</v>
      </c>
      <c r="C47" s="37" t="s">
        <v>88</v>
      </c>
      <c r="D47" s="37" t="s">
        <v>234</v>
      </c>
      <c r="E47" s="37" t="s">
        <v>173</v>
      </c>
      <c r="F47" s="37" t="s">
        <v>209</v>
      </c>
      <c r="G47" s="38" t="n">
        <v>45966</v>
      </c>
      <c r="H47" s="26" t="n">
        <v>2441.94</v>
      </c>
      <c r="I47" s="26" t="n">
        <v>1494.84</v>
      </c>
      <c r="J47" s="26" t="n">
        <v>1558.95</v>
      </c>
      <c r="K47" s="26" t="n">
        <f aca="false">I47-J47</f>
        <v>-64.1100000000001</v>
      </c>
      <c r="L47" s="39" t="n">
        <f aca="false">IFERROR(K47/I47,0)</f>
        <v>-0.0428875331139119</v>
      </c>
      <c r="M47" s="26" t="n">
        <v>1274.32</v>
      </c>
      <c r="N47" s="26" t="n">
        <f aca="false">I47-M47</f>
        <v>220.52</v>
      </c>
      <c r="O47" s="39" t="n">
        <f aca="false">IFERROR(N47/I47,0)</f>
        <v>0.147520804902197</v>
      </c>
      <c r="P47" s="26" t="n">
        <v>1148.62</v>
      </c>
      <c r="Q47" s="26" t="n">
        <f aca="false">I47-P47</f>
        <v>346.22</v>
      </c>
      <c r="R47" s="39" t="n">
        <f aca="false">IFERROR(Q47/I47,0)</f>
        <v>0.231610071980948</v>
      </c>
      <c r="S47" s="26" t="n">
        <v>1165.77</v>
      </c>
      <c r="T47" s="26" t="n">
        <f aca="false">I47-S47</f>
        <v>329.07</v>
      </c>
      <c r="U47" s="39" t="n">
        <f aca="false">IFERROR(T47/I47,0)</f>
        <v>0.220137272216424</v>
      </c>
      <c r="V47" s="40" t="s">
        <v>125</v>
      </c>
      <c r="W47" s="40" t="s">
        <v>140</v>
      </c>
      <c r="X47" s="40" t="s">
        <v>125</v>
      </c>
    </row>
    <row r="48" customFormat="false" ht="15" hidden="false" customHeight="false" outlineLevel="0" collapsed="false">
      <c r="A48" s="37" t="s">
        <v>251</v>
      </c>
      <c r="B48" s="37" t="s">
        <v>228</v>
      </c>
      <c r="C48" s="37" t="s">
        <v>88</v>
      </c>
      <c r="D48" s="37" t="s">
        <v>172</v>
      </c>
      <c r="E48" s="37" t="s">
        <v>173</v>
      </c>
      <c r="F48" s="37" t="s">
        <v>207</v>
      </c>
      <c r="G48" s="38" t="n">
        <v>45974</v>
      </c>
      <c r="H48" s="26" t="n">
        <v>798.14</v>
      </c>
      <c r="I48" s="26" t="n">
        <v>516.21</v>
      </c>
      <c r="J48" s="26" t="n">
        <v>536.05</v>
      </c>
      <c r="K48" s="26" t="n">
        <f aca="false">I48-J48</f>
        <v>-19.8399999999999</v>
      </c>
      <c r="L48" s="39" t="n">
        <f aca="false">IFERROR(K48/I48,0)</f>
        <v>-0.0384339706708509</v>
      </c>
      <c r="M48" s="26" t="n">
        <v>466.08</v>
      </c>
      <c r="N48" s="26" t="n">
        <f aca="false">I48-M48</f>
        <v>50.1300000000001</v>
      </c>
      <c r="O48" s="39" t="n">
        <f aca="false">IFERROR(N48/I48,0)</f>
        <v>0.0971116406113792</v>
      </c>
      <c r="P48" s="26" t="n">
        <v>392.39</v>
      </c>
      <c r="Q48" s="26" t="n">
        <f aca="false">I48-P48</f>
        <v>123.82</v>
      </c>
      <c r="R48" s="39" t="n">
        <f aca="false">IFERROR(Q48/I48,0)</f>
        <v>0.239863621394394</v>
      </c>
      <c r="S48" s="26" t="n">
        <v>416.35</v>
      </c>
      <c r="T48" s="26" t="n">
        <f aca="false">I48-S48</f>
        <v>99.86</v>
      </c>
      <c r="U48" s="39" t="n">
        <f aca="false">IFERROR(T48/I48,0)</f>
        <v>0.193448402781814</v>
      </c>
      <c r="V48" s="40" t="s">
        <v>125</v>
      </c>
      <c r="W48" s="40" t="s">
        <v>140</v>
      </c>
      <c r="X48" s="40" t="s">
        <v>125</v>
      </c>
    </row>
    <row r="49" customFormat="false" ht="15" hidden="false" customHeight="false" outlineLevel="0" collapsed="false">
      <c r="A49" s="37" t="s">
        <v>252</v>
      </c>
      <c r="B49" s="37" t="s">
        <v>253</v>
      </c>
      <c r="C49" s="37" t="s">
        <v>89</v>
      </c>
      <c r="D49" s="37" t="s">
        <v>186</v>
      </c>
      <c r="E49" s="37" t="s">
        <v>129</v>
      </c>
      <c r="F49" s="37" t="s">
        <v>130</v>
      </c>
      <c r="G49" s="38" t="n">
        <v>46048</v>
      </c>
      <c r="H49" s="26" t="n">
        <v>5698.36</v>
      </c>
      <c r="I49" s="26" t="n">
        <v>3328.72</v>
      </c>
      <c r="J49" s="26" t="n">
        <v>3419.89</v>
      </c>
      <c r="K49" s="26" t="n">
        <f aca="false">I49-J49</f>
        <v>-91.1700000000001</v>
      </c>
      <c r="L49" s="39" t="n">
        <f aca="false">IFERROR(K49/I49,0)</f>
        <v>-0.0273889062462448</v>
      </c>
      <c r="M49" s="26" t="n">
        <v>2983.66</v>
      </c>
      <c r="N49" s="26" t="n">
        <f aca="false">I49-M49</f>
        <v>345.06</v>
      </c>
      <c r="O49" s="39" t="n">
        <f aca="false">IFERROR(N49/I49,0)</f>
        <v>0.10366146747098</v>
      </c>
      <c r="P49" s="26" t="n">
        <v>2217.6</v>
      </c>
      <c r="Q49" s="26" t="n">
        <f aca="false">I49-P49</f>
        <v>1111.12</v>
      </c>
      <c r="R49" s="39" t="n">
        <f aca="false">IFERROR(Q49/I49,0)</f>
        <v>0.333797976399337</v>
      </c>
      <c r="S49" s="26" t="n">
        <v>2789.49</v>
      </c>
      <c r="T49" s="26" t="n">
        <f aca="false">I49-S49</f>
        <v>539.23</v>
      </c>
      <c r="U49" s="39" t="n">
        <f aca="false">IFERROR(T49/I49,0)</f>
        <v>0.161993198586844</v>
      </c>
      <c r="V49" s="40" t="s">
        <v>125</v>
      </c>
      <c r="W49" s="40" t="s">
        <v>125</v>
      </c>
      <c r="X49" s="40" t="s">
        <v>125</v>
      </c>
    </row>
    <row r="50" customFormat="false" ht="15" hidden="false" customHeight="false" outlineLevel="0" collapsed="false">
      <c r="A50" s="37" t="s">
        <v>254</v>
      </c>
      <c r="B50" s="37" t="s">
        <v>165</v>
      </c>
      <c r="C50" s="37" t="s">
        <v>86</v>
      </c>
      <c r="D50" s="37" t="s">
        <v>162</v>
      </c>
      <c r="E50" s="37" t="s">
        <v>123</v>
      </c>
      <c r="F50" s="37" t="s">
        <v>151</v>
      </c>
      <c r="G50" s="38" t="n">
        <v>46073</v>
      </c>
      <c r="H50" s="26" t="n">
        <v>81192.19</v>
      </c>
      <c r="I50" s="26" t="n">
        <v>23486.17</v>
      </c>
      <c r="J50" s="26" t="n">
        <v>24538.07</v>
      </c>
      <c r="K50" s="26" t="n">
        <f aca="false">I50-J50</f>
        <v>-1051.9</v>
      </c>
      <c r="L50" s="39" t="n">
        <f aca="false">IFERROR(K50/I50,0)</f>
        <v>-0.0447880603776606</v>
      </c>
      <c r="M50" s="26" t="n">
        <v>20590.75</v>
      </c>
      <c r="N50" s="26" t="n">
        <f aca="false">I50-M50</f>
        <v>2895.42</v>
      </c>
      <c r="O50" s="39" t="n">
        <f aca="false">IFERROR(N50/I50,0)</f>
        <v>0.123281914420274</v>
      </c>
      <c r="P50" s="26" t="n">
        <v>17457.95</v>
      </c>
      <c r="Q50" s="26" t="n">
        <f aca="false">I50-P50</f>
        <v>6028.22</v>
      </c>
      <c r="R50" s="39" t="n">
        <f aca="false">IFERROR(Q50/I50,0)</f>
        <v>0.256671053645614</v>
      </c>
      <c r="S50" s="26" t="n">
        <v>18163.94</v>
      </c>
      <c r="T50" s="26" t="n">
        <f aca="false">I50-S50</f>
        <v>5322.23</v>
      </c>
      <c r="U50" s="39" t="n">
        <f aca="false">IFERROR(T50/I50,0)</f>
        <v>0.226611235463253</v>
      </c>
      <c r="V50" s="40" t="s">
        <v>125</v>
      </c>
      <c r="W50" s="40" t="s">
        <v>125</v>
      </c>
      <c r="X50" s="40" t="s">
        <v>125</v>
      </c>
    </row>
    <row r="52" customFormat="false" ht="15" hidden="false" customHeight="false" outlineLevel="0" collapsed="false">
      <c r="F52" s="41" t="s">
        <v>255</v>
      </c>
      <c r="H52" s="25" t="n">
        <f aca="false">SUM(H3:H50)</f>
        <v>1750023.89</v>
      </c>
      <c r="I52" s="25" t="n">
        <f aca="false">SUM(I3:I50)</f>
        <v>642068.18</v>
      </c>
      <c r="J52" s="25" t="n">
        <f aca="false">SUM(J3:J50)</f>
        <v>655309.62</v>
      </c>
      <c r="K52" s="25" t="n">
        <f aca="false">SUM(K3:K50)</f>
        <v>-13241.44</v>
      </c>
      <c r="L52" s="42" t="n">
        <f aca="false">IFERROR(SUM(K3:K50)/SUM($I$3:$I$50),0)</f>
        <v>-0.0206231057891703</v>
      </c>
      <c r="M52" s="25" t="n">
        <f aca="false">SUM(M3:M50)</f>
        <v>558655.5</v>
      </c>
      <c r="N52" s="25" t="n">
        <f aca="false">SUM(N3:N50)</f>
        <v>83412.68</v>
      </c>
      <c r="O52" s="42" t="n">
        <f aca="false">IFERROR(SUM(N3:N50)/SUM($I$3:$I$50),0)</f>
        <v>0.129912496208736</v>
      </c>
      <c r="P52" s="25" t="n">
        <f aca="false">SUM(P3:P50)</f>
        <v>471020.98</v>
      </c>
      <c r="Q52" s="25" t="n">
        <f aca="false">SUM(Q3:Q50)</f>
        <v>171047.2</v>
      </c>
      <c r="R52" s="42" t="n">
        <f aca="false">IFERROR(SUM(Q3:Q50)/SUM($I$3:$I$50),0)</f>
        <v>0.266400368882943</v>
      </c>
      <c r="S52" s="25" t="n">
        <f aca="false">SUM(S3:S50)</f>
        <v>516514.48</v>
      </c>
      <c r="T52" s="25" t="n">
        <f aca="false">SUM(T3:T50)</f>
        <v>125553.7</v>
      </c>
      <c r="U52" s="42" t="n">
        <f aca="false">IFERROR(SUM(T3:T50)/SUM($I$3:$I$50),0)</f>
        <v>0.195545744067242</v>
      </c>
    </row>
  </sheetData>
  <autoFilter ref="A2:X50"/>
  <mergeCells count="1">
    <mergeCell ref="A1:X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14"/>
    <col collapsed="false" customWidth="true" hidden="false" outlineLevel="0" max="3" min="2" style="0" width="18"/>
    <col collapsed="false" customWidth="true" hidden="false" outlineLevel="0" max="5" min="4" style="0" width="16"/>
    <col collapsed="false" customWidth="true" hidden="false" outlineLevel="0" max="6" min="6" style="0" width="12"/>
  </cols>
  <sheetData>
    <row r="1" customFormat="false" ht="21.75" hidden="false" customHeight="true" outlineLevel="0" collapsed="false">
      <c r="A1" s="1" t="s">
        <v>256</v>
      </c>
      <c r="B1" s="1"/>
      <c r="C1" s="1"/>
      <c r="D1" s="1"/>
      <c r="E1" s="1"/>
      <c r="F1" s="1"/>
    </row>
    <row r="2" customFormat="false" ht="25.5" hidden="false" customHeight="true" outlineLevel="0" collapsed="false">
      <c r="A2" s="9" t="s">
        <v>257</v>
      </c>
      <c r="B2" s="9"/>
      <c r="C2" s="9"/>
      <c r="D2" s="9"/>
      <c r="E2" s="9"/>
      <c r="F2" s="9"/>
    </row>
    <row r="4" customFormat="false" ht="19.5" hidden="false" customHeight="true" outlineLevel="0" collapsed="false">
      <c r="A4" s="6" t="s">
        <v>258</v>
      </c>
      <c r="B4" s="6"/>
      <c r="C4" s="6"/>
      <c r="D4" s="6"/>
      <c r="E4" s="6"/>
      <c r="F4" s="6"/>
    </row>
    <row r="5" customFormat="false" ht="27.75" hidden="false" customHeight="true" outlineLevel="0" collapsed="false">
      <c r="A5" s="15" t="s">
        <v>259</v>
      </c>
      <c r="B5" s="15" t="s">
        <v>260</v>
      </c>
      <c r="C5" s="15" t="s">
        <v>261</v>
      </c>
      <c r="D5" s="15" t="s">
        <v>262</v>
      </c>
      <c r="E5" s="15" t="s">
        <v>263</v>
      </c>
      <c r="F5" s="15" t="s">
        <v>264</v>
      </c>
    </row>
    <row r="6" customFormat="false" ht="15" hidden="false" customHeight="false" outlineLevel="0" collapsed="false">
      <c r="A6" s="37" t="s">
        <v>265</v>
      </c>
      <c r="B6" s="37" t="n">
        <v>524</v>
      </c>
      <c r="C6" s="26" t="n">
        <v>214238.78</v>
      </c>
      <c r="D6" s="26" t="n">
        <v>47572.32</v>
      </c>
      <c r="E6" s="26" t="n">
        <f aca="false">C6+D6</f>
        <v>261811.1</v>
      </c>
      <c r="F6" s="43" t="n">
        <f aca="false">IFERROR(E6/B6,0)</f>
        <v>499.639503816794</v>
      </c>
    </row>
    <row r="7" customFormat="false" ht="15" hidden="false" customHeight="false" outlineLevel="0" collapsed="false">
      <c r="A7" s="37" t="s">
        <v>266</v>
      </c>
      <c r="B7" s="37" t="n">
        <v>513</v>
      </c>
      <c r="C7" s="26" t="n">
        <v>186545.46</v>
      </c>
      <c r="D7" s="26" t="n">
        <v>44964.49</v>
      </c>
      <c r="E7" s="26" t="n">
        <f aca="false">C7+D7</f>
        <v>231509.95</v>
      </c>
      <c r="F7" s="43" t="n">
        <f aca="false">IFERROR(E7/B7,0)</f>
        <v>451.286452241715</v>
      </c>
    </row>
    <row r="8" customFormat="false" ht="15" hidden="false" customHeight="false" outlineLevel="0" collapsed="false">
      <c r="A8" s="37" t="s">
        <v>267</v>
      </c>
      <c r="B8" s="37" t="n">
        <v>500</v>
      </c>
      <c r="C8" s="26" t="n">
        <v>202193.47</v>
      </c>
      <c r="D8" s="26" t="n">
        <v>43836.81</v>
      </c>
      <c r="E8" s="26" t="n">
        <f aca="false">C8+D8</f>
        <v>246030.28</v>
      </c>
      <c r="F8" s="43" t="n">
        <f aca="false">IFERROR(E8/B8,0)</f>
        <v>492.06056</v>
      </c>
    </row>
    <row r="9" customFormat="false" ht="15" hidden="false" customHeight="false" outlineLevel="0" collapsed="false">
      <c r="A9" s="37" t="s">
        <v>268</v>
      </c>
      <c r="B9" s="37" t="n">
        <v>511</v>
      </c>
      <c r="C9" s="26" t="n">
        <v>187250.18</v>
      </c>
      <c r="D9" s="26" t="n">
        <v>45270.66</v>
      </c>
      <c r="E9" s="26" t="n">
        <f aca="false">C9+D9</f>
        <v>232520.84</v>
      </c>
      <c r="F9" s="43" t="n">
        <f aca="false">IFERROR(E9/B9,0)</f>
        <v>455.030998043053</v>
      </c>
    </row>
    <row r="10" customFormat="false" ht="15" hidden="false" customHeight="false" outlineLevel="0" collapsed="false">
      <c r="A10" s="37" t="s">
        <v>269</v>
      </c>
      <c r="B10" s="37" t="n">
        <v>520</v>
      </c>
      <c r="C10" s="26" t="n">
        <v>184377.28</v>
      </c>
      <c r="D10" s="26" t="n">
        <v>46000.63</v>
      </c>
      <c r="E10" s="26" t="n">
        <f aca="false">C10+D10</f>
        <v>230377.91</v>
      </c>
      <c r="F10" s="43" t="n">
        <f aca="false">IFERROR(E10/B10,0)</f>
        <v>443.034442307692</v>
      </c>
    </row>
    <row r="11" customFormat="false" ht="15" hidden="false" customHeight="false" outlineLevel="0" collapsed="false">
      <c r="A11" s="37" t="s">
        <v>270</v>
      </c>
      <c r="B11" s="37" t="n">
        <v>507</v>
      </c>
      <c r="C11" s="26" t="n">
        <v>187336.64</v>
      </c>
      <c r="D11" s="26" t="n">
        <v>45050.43</v>
      </c>
      <c r="E11" s="26" t="n">
        <f aca="false">C11+D11</f>
        <v>232387.07</v>
      </c>
      <c r="F11" s="43" t="n">
        <f aca="false">IFERROR(E11/B11,0)</f>
        <v>458.357140039448</v>
      </c>
    </row>
    <row r="12" customFormat="false" ht="15" hidden="false" customHeight="false" outlineLevel="0" collapsed="false">
      <c r="A12" s="37" t="s">
        <v>271</v>
      </c>
      <c r="B12" s="37" t="n">
        <v>504</v>
      </c>
      <c r="C12" s="26" t="n">
        <v>189061.89</v>
      </c>
      <c r="D12" s="26" t="n">
        <v>49609.68</v>
      </c>
      <c r="E12" s="26" t="n">
        <f aca="false">C12+D12</f>
        <v>238671.57</v>
      </c>
      <c r="F12" s="43" t="n">
        <f aca="false">IFERROR(E12/B12,0)</f>
        <v>473.554702380952</v>
      </c>
    </row>
    <row r="13" customFormat="false" ht="15" hidden="false" customHeight="false" outlineLevel="0" collapsed="false">
      <c r="A13" s="37" t="s">
        <v>272</v>
      </c>
      <c r="B13" s="37" t="n">
        <v>503</v>
      </c>
      <c r="C13" s="26" t="n">
        <v>203020.56</v>
      </c>
      <c r="D13" s="26" t="n">
        <v>47287.2</v>
      </c>
      <c r="E13" s="26" t="n">
        <f aca="false">C13+D13</f>
        <v>250307.76</v>
      </c>
      <c r="F13" s="43" t="n">
        <f aca="false">IFERROR(E13/B13,0)</f>
        <v>497.629741550696</v>
      </c>
    </row>
    <row r="14" customFormat="false" ht="15" hidden="false" customHeight="false" outlineLevel="0" collapsed="false">
      <c r="A14" s="37" t="s">
        <v>273</v>
      </c>
      <c r="B14" s="37" t="n">
        <v>522</v>
      </c>
      <c r="C14" s="26" t="n">
        <v>199236.09</v>
      </c>
      <c r="D14" s="26" t="n">
        <v>50988.75</v>
      </c>
      <c r="E14" s="26" t="n">
        <f aca="false">C14+D14</f>
        <v>250224.84</v>
      </c>
      <c r="F14" s="43" t="n">
        <f aca="false">IFERROR(E14/B14,0)</f>
        <v>479.357931034483</v>
      </c>
    </row>
    <row r="15" customFormat="false" ht="15" hidden="false" customHeight="false" outlineLevel="0" collapsed="false">
      <c r="A15" s="37" t="s">
        <v>274</v>
      </c>
      <c r="B15" s="37" t="n">
        <v>519</v>
      </c>
      <c r="C15" s="26" t="n">
        <v>214160.89</v>
      </c>
      <c r="D15" s="26" t="n">
        <v>55014.98</v>
      </c>
      <c r="E15" s="26" t="n">
        <f aca="false">C15+D15</f>
        <v>269175.87</v>
      </c>
      <c r="F15" s="43" t="n">
        <f aca="false">IFERROR(E15/B15,0)</f>
        <v>518.643294797688</v>
      </c>
    </row>
    <row r="16" customFormat="false" ht="15" hidden="false" customHeight="false" outlineLevel="0" collapsed="false">
      <c r="A16" s="37" t="s">
        <v>275</v>
      </c>
      <c r="B16" s="37" t="n">
        <v>503</v>
      </c>
      <c r="C16" s="26" t="n">
        <v>215952.69</v>
      </c>
      <c r="D16" s="26" t="n">
        <v>47707.11</v>
      </c>
      <c r="E16" s="26" t="n">
        <f aca="false">C16+D16</f>
        <v>263659.8</v>
      </c>
      <c r="F16" s="43" t="n">
        <f aca="false">IFERROR(E16/B16,0)</f>
        <v>524.174552683897</v>
      </c>
    </row>
    <row r="17" customFormat="false" ht="15" hidden="false" customHeight="false" outlineLevel="0" collapsed="false">
      <c r="A17" s="37" t="s">
        <v>276</v>
      </c>
      <c r="B17" s="37" t="n">
        <v>509</v>
      </c>
      <c r="C17" s="26" t="n">
        <v>192101.35</v>
      </c>
      <c r="D17" s="26" t="n">
        <v>47166.36</v>
      </c>
      <c r="E17" s="26" t="n">
        <f aca="false">C17+D17</f>
        <v>239267.71</v>
      </c>
      <c r="F17" s="43" t="n">
        <f aca="false">IFERROR(E17/B17,0)</f>
        <v>470.074086444008</v>
      </c>
    </row>
    <row r="18" customFormat="false" ht="15" hidden="false" customHeight="false" outlineLevel="0" collapsed="false">
      <c r="A18" s="44" t="s">
        <v>277</v>
      </c>
      <c r="B18" s="44" t="n">
        <v>509</v>
      </c>
      <c r="C18" s="45" t="n">
        <v>213042.05</v>
      </c>
      <c r="D18" s="45" t="n">
        <v>56746.61</v>
      </c>
      <c r="E18" s="45" t="n">
        <f aca="false">C18+D18</f>
        <v>269788.66</v>
      </c>
      <c r="F18" s="46" t="n">
        <f aca="false">IFERROR(E18/B18,0)</f>
        <v>530.036660117878</v>
      </c>
    </row>
    <row r="19" customFormat="false" ht="15" hidden="false" customHeight="false" outlineLevel="0" collapsed="false">
      <c r="A19" s="44" t="s">
        <v>278</v>
      </c>
      <c r="B19" s="44" t="n">
        <v>512</v>
      </c>
      <c r="C19" s="45" t="n">
        <v>208144.64</v>
      </c>
      <c r="D19" s="45" t="n">
        <v>55419.34</v>
      </c>
      <c r="E19" s="45" t="n">
        <f aca="false">C19+D19</f>
        <v>263563.98</v>
      </c>
      <c r="F19" s="46" t="n">
        <f aca="false">IFERROR(E19/B19,0)</f>
        <v>514.7733984375</v>
      </c>
    </row>
    <row r="20" customFormat="false" ht="15" hidden="false" customHeight="false" outlineLevel="0" collapsed="false">
      <c r="A20" s="44" t="s">
        <v>279</v>
      </c>
      <c r="B20" s="44" t="n">
        <v>502</v>
      </c>
      <c r="C20" s="45" t="n">
        <v>342172.56</v>
      </c>
      <c r="D20" s="45" t="n">
        <v>55919.82</v>
      </c>
      <c r="E20" s="45" t="n">
        <f aca="false">C20+D20</f>
        <v>398092.38</v>
      </c>
      <c r="F20" s="46" t="n">
        <f aca="false">IFERROR(E20/B20,0)</f>
        <v>793.012709163347</v>
      </c>
    </row>
    <row r="21" customFormat="false" ht="15" hidden="false" customHeight="false" outlineLevel="0" collapsed="false">
      <c r="A21" s="44" t="s">
        <v>280</v>
      </c>
      <c r="B21" s="44" t="n">
        <v>507</v>
      </c>
      <c r="C21" s="45" t="n">
        <v>196356.84</v>
      </c>
      <c r="D21" s="45" t="n">
        <v>56242.39</v>
      </c>
      <c r="E21" s="45" t="n">
        <f aca="false">C21+D21</f>
        <v>252599.23</v>
      </c>
      <c r="F21" s="46" t="n">
        <f aca="false">IFERROR(E21/B21,0)</f>
        <v>498.223333333333</v>
      </c>
    </row>
    <row r="22" customFormat="false" ht="15" hidden="false" customHeight="false" outlineLevel="0" collapsed="false">
      <c r="A22" s="44" t="s">
        <v>281</v>
      </c>
      <c r="B22" s="44" t="n">
        <v>521</v>
      </c>
      <c r="C22" s="45" t="n">
        <v>320162.57</v>
      </c>
      <c r="D22" s="45" t="n">
        <v>51000.23</v>
      </c>
      <c r="E22" s="45" t="n">
        <f aca="false">C22+D22</f>
        <v>371162.8</v>
      </c>
      <c r="F22" s="46" t="n">
        <f aca="false">IFERROR(E22/B22,0)</f>
        <v>712.404606525912</v>
      </c>
    </row>
    <row r="23" customFormat="false" ht="15" hidden="false" customHeight="false" outlineLevel="0" collapsed="false">
      <c r="A23" s="44" t="s">
        <v>282</v>
      </c>
      <c r="B23" s="44" t="n">
        <v>518</v>
      </c>
      <c r="C23" s="45" t="n">
        <v>233445.83</v>
      </c>
      <c r="D23" s="45" t="n">
        <v>53550.9</v>
      </c>
      <c r="E23" s="45" t="n">
        <f aca="false">C23+D23</f>
        <v>286996.73</v>
      </c>
      <c r="F23" s="46" t="n">
        <f aca="false">IFERROR(E23/B23,0)</f>
        <v>554.047741312741</v>
      </c>
    </row>
    <row r="24" customFormat="false" ht="15" hidden="false" customHeight="false" outlineLevel="0" collapsed="false">
      <c r="A24" s="44" t="s">
        <v>283</v>
      </c>
      <c r="B24" s="44" t="n">
        <v>513</v>
      </c>
      <c r="C24" s="45" t="n">
        <v>227432.9</v>
      </c>
      <c r="D24" s="45" t="n">
        <v>50330.66</v>
      </c>
      <c r="E24" s="45" t="n">
        <f aca="false">C24+D24</f>
        <v>277763.56</v>
      </c>
      <c r="F24" s="46" t="n">
        <f aca="false">IFERROR(E24/B24,0)</f>
        <v>541.449434697856</v>
      </c>
    </row>
    <row r="25" customFormat="false" ht="15" hidden="false" customHeight="false" outlineLevel="0" collapsed="false">
      <c r="A25" s="44" t="s">
        <v>284</v>
      </c>
      <c r="B25" s="44" t="n">
        <v>520</v>
      </c>
      <c r="C25" s="45" t="n">
        <v>432705.72</v>
      </c>
      <c r="D25" s="45" t="n">
        <v>60141.38</v>
      </c>
      <c r="E25" s="45" t="n">
        <f aca="false">C25+D25</f>
        <v>492847.1</v>
      </c>
      <c r="F25" s="46" t="n">
        <f aca="false">IFERROR(E25/B25,0)</f>
        <v>947.782884615385</v>
      </c>
    </row>
    <row r="26" customFormat="false" ht="15" hidden="false" customHeight="false" outlineLevel="0" collapsed="false">
      <c r="A26" s="44" t="s">
        <v>285</v>
      </c>
      <c r="B26" s="44" t="n">
        <v>515</v>
      </c>
      <c r="C26" s="45" t="n">
        <v>206514.64</v>
      </c>
      <c r="D26" s="45" t="n">
        <v>61216.1</v>
      </c>
      <c r="E26" s="45" t="n">
        <f aca="false">C26+D26</f>
        <v>267730.74</v>
      </c>
      <c r="F26" s="46" t="n">
        <f aca="false">IFERROR(E26/B26,0)</f>
        <v>519.865514563107</v>
      </c>
    </row>
    <row r="27" customFormat="false" ht="15" hidden="false" customHeight="false" outlineLevel="0" collapsed="false">
      <c r="A27" s="44" t="s">
        <v>286</v>
      </c>
      <c r="B27" s="44" t="n">
        <v>520</v>
      </c>
      <c r="C27" s="45" t="n">
        <v>245773.26</v>
      </c>
      <c r="D27" s="45" t="n">
        <v>56522.04</v>
      </c>
      <c r="E27" s="45" t="n">
        <f aca="false">C27+D27</f>
        <v>302295.3</v>
      </c>
      <c r="F27" s="46" t="n">
        <f aca="false">IFERROR(E27/B27,0)</f>
        <v>581.337115384615</v>
      </c>
    </row>
    <row r="28" customFormat="false" ht="15" hidden="false" customHeight="false" outlineLevel="0" collapsed="false">
      <c r="A28" s="44" t="s">
        <v>287</v>
      </c>
      <c r="B28" s="44" t="n">
        <v>504</v>
      </c>
      <c r="C28" s="45" t="n">
        <v>361547.59</v>
      </c>
      <c r="D28" s="45" t="n">
        <v>58204.34</v>
      </c>
      <c r="E28" s="45" t="n">
        <f aca="false">C28+D28</f>
        <v>419751.93</v>
      </c>
      <c r="F28" s="46" t="n">
        <f aca="false">IFERROR(E28/B28,0)</f>
        <v>832.841130952381</v>
      </c>
    </row>
    <row r="29" customFormat="false" ht="15" hidden="false" customHeight="false" outlineLevel="0" collapsed="false">
      <c r="A29" s="44" t="s">
        <v>288</v>
      </c>
      <c r="B29" s="44" t="n">
        <v>520</v>
      </c>
      <c r="C29" s="45" t="n">
        <v>220419.4</v>
      </c>
      <c r="D29" s="45" t="n">
        <v>61321.27</v>
      </c>
      <c r="E29" s="45" t="n">
        <f aca="false">C29+D29</f>
        <v>281740.67</v>
      </c>
      <c r="F29" s="46" t="n">
        <f aca="false">IFERROR(E29/B29,0)</f>
        <v>541.808980769231</v>
      </c>
    </row>
    <row r="31" customFormat="false" ht="19.5" hidden="false" customHeight="true" outlineLevel="0" collapsed="false">
      <c r="A31" s="6" t="s">
        <v>289</v>
      </c>
      <c r="B31" s="6"/>
      <c r="C31" s="6"/>
      <c r="D31" s="6"/>
      <c r="E31" s="6"/>
      <c r="F31" s="6"/>
    </row>
    <row r="32" customFormat="false" ht="25.5" hidden="false" customHeight="true" outlineLevel="0" collapsed="false">
      <c r="A32" s="15" t="s">
        <v>290</v>
      </c>
      <c r="B32" s="47" t="s">
        <v>291</v>
      </c>
      <c r="C32" s="47"/>
      <c r="E32" s="15" t="s">
        <v>292</v>
      </c>
      <c r="F32" s="15" t="s">
        <v>293</v>
      </c>
    </row>
    <row r="33" customFormat="false" ht="15" hidden="false" customHeight="false" outlineLevel="0" collapsed="false">
      <c r="A33" s="37" t="s">
        <v>294</v>
      </c>
      <c r="B33" s="10" t="s">
        <v>295</v>
      </c>
      <c r="C33" s="10"/>
      <c r="E33" s="26" t="n">
        <v>128500</v>
      </c>
      <c r="F33" s="26" t="n">
        <f aca="false">MAX(E33-75000,0)</f>
        <v>53500</v>
      </c>
    </row>
    <row r="34" customFormat="false" ht="15" hidden="false" customHeight="false" outlineLevel="0" collapsed="false">
      <c r="A34" s="37" t="s">
        <v>296</v>
      </c>
      <c r="B34" s="10" t="s">
        <v>297</v>
      </c>
      <c r="C34" s="10"/>
      <c r="E34" s="26" t="n">
        <v>215000</v>
      </c>
      <c r="F34" s="26" t="n">
        <f aca="false">MAX(E34-75000,0)</f>
        <v>140000</v>
      </c>
    </row>
    <row r="35" customFormat="false" ht="15" hidden="false" customHeight="false" outlineLevel="0" collapsed="false">
      <c r="A35" s="37" t="s">
        <v>298</v>
      </c>
      <c r="B35" s="10" t="s">
        <v>299</v>
      </c>
      <c r="C35" s="10"/>
      <c r="E35" s="26" t="n">
        <v>95000</v>
      </c>
      <c r="F35" s="26" t="n">
        <f aca="false">MAX(E35-75000,0)</f>
        <v>20000</v>
      </c>
    </row>
    <row r="36" customFormat="false" ht="15" hidden="false" customHeight="false" outlineLevel="0" collapsed="false">
      <c r="A36" s="37" t="s">
        <v>300</v>
      </c>
      <c r="B36" s="10" t="s">
        <v>301</v>
      </c>
      <c r="C36" s="10"/>
      <c r="E36" s="26" t="n">
        <v>142000</v>
      </c>
      <c r="F36" s="26" t="n">
        <f aca="false">MAX(E36-75000,0)</f>
        <v>67000</v>
      </c>
    </row>
    <row r="37" customFormat="false" ht="15" hidden="false" customHeight="false" outlineLevel="0" collapsed="false">
      <c r="A37" s="22" t="s">
        <v>302</v>
      </c>
      <c r="B37" s="48"/>
      <c r="C37" s="48"/>
      <c r="E37" s="25" t="n">
        <f aca="false">SUM(E33:E36)</f>
        <v>580500</v>
      </c>
      <c r="F37" s="25" t="n">
        <f aca="false">SUM(F33:F36)</f>
        <v>280500</v>
      </c>
    </row>
  </sheetData>
  <mergeCells count="10">
    <mergeCell ref="A1:F1"/>
    <mergeCell ref="A2:F2"/>
    <mergeCell ref="A4:F4"/>
    <mergeCell ref="A31:F31"/>
    <mergeCell ref="B32:C32"/>
    <mergeCell ref="B33:C33"/>
    <mergeCell ref="B34:C34"/>
    <mergeCell ref="B35:C35"/>
    <mergeCell ref="B36:C36"/>
    <mergeCell ref="B37:C3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6"/>
    <col collapsed="false" customWidth="true" hidden="false" outlineLevel="0" max="2" min="2" style="0" width="14"/>
    <col collapsed="false" customWidth="true" hidden="false" outlineLevel="0" max="8" min="3" style="0" width="15"/>
  </cols>
  <sheetData>
    <row r="1" customFormat="false" ht="21.75" hidden="false" customHeight="true" outlineLevel="0" collapsed="false">
      <c r="A1" s="1" t="s">
        <v>303</v>
      </c>
      <c r="B1" s="1"/>
      <c r="C1" s="1"/>
      <c r="D1" s="1"/>
      <c r="E1" s="1"/>
      <c r="F1" s="1"/>
      <c r="G1" s="1"/>
      <c r="H1" s="1"/>
    </row>
    <row r="2" customFormat="false" ht="25.5" hidden="false" customHeight="true" outlineLevel="0" collapsed="false">
      <c r="A2" s="9" t="s">
        <v>304</v>
      </c>
      <c r="B2" s="9"/>
      <c r="C2" s="9"/>
      <c r="D2" s="9"/>
      <c r="E2" s="9"/>
      <c r="F2" s="9"/>
      <c r="G2" s="9"/>
      <c r="H2" s="9"/>
    </row>
    <row r="4" customFormat="false" ht="19.5" hidden="false" customHeight="true" outlineLevel="0" collapsed="false">
      <c r="A4" s="6" t="s">
        <v>305</v>
      </c>
      <c r="B4" s="6"/>
      <c r="C4" s="6"/>
      <c r="D4" s="6"/>
      <c r="E4" s="6"/>
      <c r="F4" s="6"/>
      <c r="G4" s="6"/>
      <c r="H4" s="6"/>
    </row>
    <row r="5" customFormat="false" ht="31.5" hidden="false" customHeight="true" outlineLevel="0" collapsed="false">
      <c r="A5" s="15" t="s">
        <v>99</v>
      </c>
      <c r="B5" s="15" t="s">
        <v>80</v>
      </c>
      <c r="C5" s="17" t="s">
        <v>306</v>
      </c>
      <c r="D5" s="18" t="s">
        <v>307</v>
      </c>
      <c r="E5" s="19" t="s">
        <v>308</v>
      </c>
    </row>
    <row r="6" customFormat="false" ht="15" hidden="false" customHeight="false" outlineLevel="0" collapsed="false">
      <c r="A6" s="37" t="s">
        <v>122</v>
      </c>
      <c r="B6" s="37" t="s">
        <v>86</v>
      </c>
      <c r="C6" s="40" t="s">
        <v>125</v>
      </c>
      <c r="D6" s="40" t="s">
        <v>125</v>
      </c>
      <c r="E6" s="40" t="s">
        <v>125</v>
      </c>
    </row>
    <row r="7" customFormat="false" ht="15" hidden="false" customHeight="false" outlineLevel="0" collapsed="false">
      <c r="A7" s="37" t="s">
        <v>150</v>
      </c>
      <c r="B7" s="37" t="s">
        <v>86</v>
      </c>
      <c r="C7" s="40" t="s">
        <v>125</v>
      </c>
      <c r="D7" s="40" t="s">
        <v>140</v>
      </c>
      <c r="E7" s="40" t="s">
        <v>125</v>
      </c>
    </row>
    <row r="8" customFormat="false" ht="15" hidden="false" customHeight="false" outlineLevel="0" collapsed="false">
      <c r="A8" s="37" t="s">
        <v>218</v>
      </c>
      <c r="B8" s="37" t="s">
        <v>86</v>
      </c>
      <c r="C8" s="40" t="s">
        <v>125</v>
      </c>
      <c r="D8" s="40" t="s">
        <v>125</v>
      </c>
      <c r="E8" s="40" t="s">
        <v>125</v>
      </c>
    </row>
    <row r="9" customFormat="false" ht="15" hidden="false" customHeight="false" outlineLevel="0" collapsed="false">
      <c r="A9" s="37" t="s">
        <v>162</v>
      </c>
      <c r="B9" s="37" t="s">
        <v>86</v>
      </c>
      <c r="C9" s="40" t="s">
        <v>125</v>
      </c>
      <c r="D9" s="40" t="s">
        <v>125</v>
      </c>
      <c r="E9" s="40" t="s">
        <v>125</v>
      </c>
    </row>
    <row r="10" customFormat="false" ht="15" hidden="false" customHeight="false" outlineLevel="0" collapsed="false">
      <c r="A10" s="37" t="s">
        <v>146</v>
      </c>
      <c r="B10" s="37" t="s">
        <v>86</v>
      </c>
      <c r="C10" s="40" t="s">
        <v>125</v>
      </c>
      <c r="D10" s="40" t="s">
        <v>125</v>
      </c>
      <c r="E10" s="40" t="s">
        <v>125</v>
      </c>
    </row>
    <row r="11" customFormat="false" ht="15" hidden="false" customHeight="false" outlineLevel="0" collapsed="false">
      <c r="A11" s="37" t="s">
        <v>180</v>
      </c>
      <c r="B11" s="37" t="s">
        <v>87</v>
      </c>
      <c r="C11" s="40" t="s">
        <v>125</v>
      </c>
      <c r="D11" s="40" t="s">
        <v>125</v>
      </c>
      <c r="E11" s="40" t="s">
        <v>125</v>
      </c>
    </row>
    <row r="12" customFormat="false" ht="15" hidden="false" customHeight="false" outlineLevel="0" collapsed="false">
      <c r="A12" s="37" t="s">
        <v>221</v>
      </c>
      <c r="B12" s="37" t="s">
        <v>87</v>
      </c>
      <c r="C12" s="40" t="s">
        <v>125</v>
      </c>
      <c r="D12" s="40" t="s">
        <v>125</v>
      </c>
      <c r="E12" s="40" t="s">
        <v>140</v>
      </c>
    </row>
    <row r="13" customFormat="false" ht="15" hidden="false" customHeight="false" outlineLevel="0" collapsed="false">
      <c r="A13" s="37" t="s">
        <v>133</v>
      </c>
      <c r="B13" s="37" t="s">
        <v>87</v>
      </c>
      <c r="C13" s="40" t="s">
        <v>125</v>
      </c>
      <c r="D13" s="40" t="s">
        <v>125</v>
      </c>
      <c r="E13" s="40" t="s">
        <v>125</v>
      </c>
    </row>
    <row r="14" customFormat="false" ht="15" hidden="false" customHeight="false" outlineLevel="0" collapsed="false">
      <c r="A14" s="37" t="s">
        <v>138</v>
      </c>
      <c r="B14" s="37" t="s">
        <v>87</v>
      </c>
      <c r="C14" s="40" t="s">
        <v>140</v>
      </c>
      <c r="D14" s="40" t="s">
        <v>125</v>
      </c>
      <c r="E14" s="40" t="s">
        <v>125</v>
      </c>
    </row>
    <row r="15" customFormat="false" ht="15" hidden="false" customHeight="false" outlineLevel="0" collapsed="false">
      <c r="A15" s="37" t="s">
        <v>154</v>
      </c>
      <c r="B15" s="37" t="s">
        <v>87</v>
      </c>
      <c r="C15" s="40" t="s">
        <v>125</v>
      </c>
      <c r="D15" s="40" t="s">
        <v>140</v>
      </c>
      <c r="E15" s="40" t="s">
        <v>125</v>
      </c>
    </row>
    <row r="16" customFormat="false" ht="15" hidden="false" customHeight="false" outlineLevel="0" collapsed="false">
      <c r="A16" s="37" t="s">
        <v>172</v>
      </c>
      <c r="B16" s="37" t="s">
        <v>88</v>
      </c>
      <c r="C16" s="40" t="s">
        <v>125</v>
      </c>
      <c r="D16" s="40" t="s">
        <v>140</v>
      </c>
      <c r="E16" s="40" t="s">
        <v>125</v>
      </c>
    </row>
    <row r="17" customFormat="false" ht="15" hidden="false" customHeight="false" outlineLevel="0" collapsed="false">
      <c r="A17" s="37" t="s">
        <v>206</v>
      </c>
      <c r="B17" s="37" t="s">
        <v>88</v>
      </c>
      <c r="C17" s="40" t="s">
        <v>140</v>
      </c>
      <c r="D17" s="40" t="s">
        <v>125</v>
      </c>
      <c r="E17" s="40" t="s">
        <v>125</v>
      </c>
    </row>
    <row r="18" customFormat="false" ht="15" hidden="false" customHeight="false" outlineLevel="0" collapsed="false">
      <c r="A18" s="37" t="s">
        <v>212</v>
      </c>
      <c r="B18" s="37" t="s">
        <v>88</v>
      </c>
      <c r="C18" s="40" t="s">
        <v>125</v>
      </c>
      <c r="D18" s="40" t="s">
        <v>125</v>
      </c>
      <c r="E18" s="40" t="s">
        <v>140</v>
      </c>
    </row>
    <row r="19" customFormat="false" ht="15" hidden="false" customHeight="false" outlineLevel="0" collapsed="false">
      <c r="A19" s="37" t="s">
        <v>234</v>
      </c>
      <c r="B19" s="37" t="s">
        <v>88</v>
      </c>
      <c r="C19" s="40" t="s">
        <v>125</v>
      </c>
      <c r="D19" s="40" t="s">
        <v>140</v>
      </c>
      <c r="E19" s="40" t="s">
        <v>125</v>
      </c>
    </row>
    <row r="20" customFormat="false" ht="15" hidden="false" customHeight="false" outlineLevel="0" collapsed="false">
      <c r="A20" s="37" t="s">
        <v>190</v>
      </c>
      <c r="B20" s="37" t="s">
        <v>88</v>
      </c>
      <c r="C20" s="40" t="s">
        <v>125</v>
      </c>
      <c r="D20" s="40" t="s">
        <v>125</v>
      </c>
      <c r="E20" s="40" t="s">
        <v>125</v>
      </c>
    </row>
    <row r="21" customFormat="false" ht="15" hidden="false" customHeight="false" outlineLevel="0" collapsed="false">
      <c r="A21" s="37" t="s">
        <v>309</v>
      </c>
      <c r="B21" s="37" t="s">
        <v>89</v>
      </c>
      <c r="C21" s="40" t="s">
        <v>125</v>
      </c>
      <c r="D21" s="40" t="s">
        <v>125</v>
      </c>
      <c r="E21" s="40" t="s">
        <v>125</v>
      </c>
    </row>
    <row r="22" customFormat="false" ht="15" hidden="false" customHeight="false" outlineLevel="0" collapsed="false">
      <c r="A22" s="37" t="s">
        <v>128</v>
      </c>
      <c r="B22" s="37" t="s">
        <v>89</v>
      </c>
      <c r="C22" s="40" t="s">
        <v>125</v>
      </c>
      <c r="D22" s="40" t="s">
        <v>125</v>
      </c>
      <c r="E22" s="40" t="s">
        <v>125</v>
      </c>
    </row>
    <row r="23" customFormat="false" ht="15" hidden="false" customHeight="false" outlineLevel="0" collapsed="false">
      <c r="A23" s="37" t="s">
        <v>143</v>
      </c>
      <c r="B23" s="37" t="s">
        <v>89</v>
      </c>
      <c r="C23" s="40" t="s">
        <v>125</v>
      </c>
      <c r="D23" s="40" t="s">
        <v>125</v>
      </c>
      <c r="E23" s="40" t="s">
        <v>140</v>
      </c>
    </row>
    <row r="24" customFormat="false" ht="15" hidden="false" customHeight="false" outlineLevel="0" collapsed="false">
      <c r="A24" s="37" t="s">
        <v>176</v>
      </c>
      <c r="B24" s="37" t="s">
        <v>89</v>
      </c>
      <c r="C24" s="40" t="s">
        <v>125</v>
      </c>
      <c r="D24" s="40" t="s">
        <v>125</v>
      </c>
      <c r="E24" s="40" t="s">
        <v>125</v>
      </c>
    </row>
    <row r="25" customFormat="false" ht="15" hidden="false" customHeight="false" outlineLevel="0" collapsed="false">
      <c r="A25" s="37" t="s">
        <v>186</v>
      </c>
      <c r="B25" s="37" t="s">
        <v>89</v>
      </c>
      <c r="C25" s="40" t="s">
        <v>125</v>
      </c>
      <c r="D25" s="40" t="s">
        <v>125</v>
      </c>
      <c r="E25" s="40" t="s">
        <v>125</v>
      </c>
    </row>
    <row r="27" customFormat="false" ht="19.5" hidden="false" customHeight="true" outlineLevel="0" collapsed="false">
      <c r="A27" s="6" t="s">
        <v>310</v>
      </c>
      <c r="B27" s="6"/>
      <c r="C27" s="6"/>
      <c r="D27" s="6"/>
      <c r="E27" s="6"/>
    </row>
    <row r="28" customFormat="false" ht="25.5" hidden="false" customHeight="true" outlineLevel="0" collapsed="false">
      <c r="A28" s="15" t="s">
        <v>80</v>
      </c>
      <c r="B28" s="15" t="s">
        <v>311</v>
      </c>
      <c r="C28" s="15" t="s">
        <v>312</v>
      </c>
      <c r="D28" s="15" t="s">
        <v>313</v>
      </c>
    </row>
    <row r="29" customFormat="false" ht="15" hidden="false" customHeight="false" outlineLevel="0" collapsed="false">
      <c r="A29" s="37" t="s">
        <v>86</v>
      </c>
      <c r="B29" s="37" t="n">
        <f aca="false">COUNTIF($B$6:$B$25,$A29)</f>
        <v>5</v>
      </c>
      <c r="C29" s="37" t="n">
        <f aca="false">COUNTIF('Claims Detail'!$C:$C,$A29)</f>
        <v>12</v>
      </c>
      <c r="D29" s="26" t="n">
        <f aca="false">SUMIF('Claims Detail'!$C:$C,$A29,'Claims Detail'!$I:$I)</f>
        <v>537091.79</v>
      </c>
    </row>
    <row r="30" customFormat="false" ht="15" hidden="false" customHeight="false" outlineLevel="0" collapsed="false">
      <c r="A30" s="37" t="s">
        <v>87</v>
      </c>
      <c r="B30" s="37" t="n">
        <f aca="false">COUNTIF($B$6:$B$25,$A30)</f>
        <v>5</v>
      </c>
      <c r="C30" s="37" t="n">
        <f aca="false">COUNTIF('Claims Detail'!$C:$C,$A30)</f>
        <v>12</v>
      </c>
      <c r="D30" s="26" t="n">
        <f aca="false">SUMIF('Claims Detail'!$C:$C,$A30,'Claims Detail'!$I:$I)</f>
        <v>74125.32</v>
      </c>
    </row>
    <row r="31" customFormat="false" ht="15" hidden="false" customHeight="false" outlineLevel="0" collapsed="false">
      <c r="A31" s="37" t="s">
        <v>88</v>
      </c>
      <c r="B31" s="37" t="n">
        <f aca="false">COUNTIF($B$6:$B$25,$A31)</f>
        <v>5</v>
      </c>
      <c r="C31" s="37" t="n">
        <f aca="false">COUNTIF('Claims Detail'!$C:$C,$A31)</f>
        <v>12</v>
      </c>
      <c r="D31" s="26" t="n">
        <f aca="false">SUMIF('Claims Detail'!$C:$C,$A31,'Claims Detail'!$I:$I)</f>
        <v>8933.39</v>
      </c>
    </row>
    <row r="32" customFormat="false" ht="15" hidden="false" customHeight="false" outlineLevel="0" collapsed="false">
      <c r="A32" s="37" t="s">
        <v>89</v>
      </c>
      <c r="B32" s="37" t="n">
        <f aca="false">COUNTIF($B$6:$B$25,$A32)</f>
        <v>5</v>
      </c>
      <c r="C32" s="37" t="n">
        <f aca="false">COUNTIF('Claims Detail'!$C:$C,$A32)</f>
        <v>12</v>
      </c>
      <c r="D32" s="26" t="n">
        <f aca="false">SUMIF('Claims Detail'!$C:$C,$A32,'Claims Detail'!$I:$I)</f>
        <v>21917.68</v>
      </c>
    </row>
    <row r="33" customFormat="false" ht="15" hidden="false" customHeight="false" outlineLevel="0" collapsed="false">
      <c r="A33" s="22" t="s">
        <v>90</v>
      </c>
      <c r="B33" s="22" t="n">
        <f aca="false">SUM(B29:B32)</f>
        <v>20</v>
      </c>
      <c r="C33" s="22" t="n">
        <f aca="false">SUM(C29:C32)</f>
        <v>48</v>
      </c>
      <c r="D33" s="25" t="n">
        <f aca="false">SUM(D29:D32)</f>
        <v>642068.18</v>
      </c>
    </row>
    <row r="35" customFormat="false" ht="19.5" hidden="false" customHeight="true" outlineLevel="0" collapsed="false">
      <c r="A35" s="6" t="s">
        <v>47</v>
      </c>
      <c r="B35" s="6"/>
      <c r="C35" s="6"/>
      <c r="D35" s="6"/>
    </row>
    <row r="36" customFormat="false" ht="30" hidden="false" customHeight="true" outlineLevel="0" collapsed="false">
      <c r="A36" s="15" t="s">
        <v>80</v>
      </c>
      <c r="B36" s="17" t="s">
        <v>306</v>
      </c>
      <c r="C36" s="18" t="s">
        <v>307</v>
      </c>
      <c r="D36" s="19" t="s">
        <v>308</v>
      </c>
    </row>
    <row r="37" customFormat="false" ht="15" hidden="false" customHeight="false" outlineLevel="0" collapsed="false">
      <c r="A37" s="37" t="s">
        <v>86</v>
      </c>
      <c r="B37" s="49" t="n">
        <f aca="false">COUNTIFS($B$6:$B$25,$A37,$C$6:$C$25,"No")</f>
        <v>0</v>
      </c>
      <c r="C37" s="49" t="n">
        <f aca="false">COUNTIFS($B$6:$B$25,$A37,$D$6:$D$25,"No")</f>
        <v>1</v>
      </c>
      <c r="D37" s="49" t="n">
        <f aca="false">COUNTIFS($B$6:$B$25,$A37,$E$6:$E$25,"No")</f>
        <v>0</v>
      </c>
    </row>
    <row r="38" customFormat="false" ht="15" hidden="false" customHeight="false" outlineLevel="0" collapsed="false">
      <c r="A38" s="37" t="s">
        <v>87</v>
      </c>
      <c r="B38" s="49" t="n">
        <f aca="false">COUNTIFS($B$6:$B$25,$A38,$C$6:$C$25,"No")</f>
        <v>1</v>
      </c>
      <c r="C38" s="49" t="n">
        <f aca="false">COUNTIFS($B$6:$B$25,$A38,$D$6:$D$25,"No")</f>
        <v>1</v>
      </c>
      <c r="D38" s="49" t="n">
        <f aca="false">COUNTIFS($B$6:$B$25,$A38,$E$6:$E$25,"No")</f>
        <v>1</v>
      </c>
    </row>
    <row r="39" customFormat="false" ht="15" hidden="false" customHeight="false" outlineLevel="0" collapsed="false">
      <c r="A39" s="37" t="s">
        <v>88</v>
      </c>
      <c r="B39" s="49" t="n">
        <f aca="false">COUNTIFS($B$6:$B$25,$A39,$C$6:$C$25,"No")</f>
        <v>1</v>
      </c>
      <c r="C39" s="49" t="n">
        <f aca="false">COUNTIFS($B$6:$B$25,$A39,$D$6:$D$25,"No")</f>
        <v>2</v>
      </c>
      <c r="D39" s="49" t="n">
        <f aca="false">COUNTIFS($B$6:$B$25,$A39,$E$6:$E$25,"No")</f>
        <v>1</v>
      </c>
    </row>
    <row r="40" customFormat="false" ht="15" hidden="false" customHeight="false" outlineLevel="0" collapsed="false">
      <c r="A40" s="37" t="s">
        <v>89</v>
      </c>
      <c r="B40" s="49" t="n">
        <f aca="false">COUNTIFS($B$6:$B$25,$A40,$C$6:$C$25,"No")</f>
        <v>0</v>
      </c>
      <c r="C40" s="49" t="n">
        <f aca="false">COUNTIFS($B$6:$B$25,$A40,$D$6:$D$25,"No")</f>
        <v>0</v>
      </c>
      <c r="D40" s="49" t="n">
        <f aca="false">COUNTIFS($B$6:$B$25,$A40,$E$6:$E$25,"No")</f>
        <v>1</v>
      </c>
    </row>
    <row r="41" customFormat="false" ht="15" hidden="false" customHeight="false" outlineLevel="0" collapsed="false">
      <c r="A41" s="22" t="s">
        <v>90</v>
      </c>
      <c r="B41" s="50" t="n">
        <f aca="false">SUM(B37:B40)</f>
        <v>2</v>
      </c>
      <c r="C41" s="50" t="n">
        <f aca="false">SUM(C37:C40)</f>
        <v>4</v>
      </c>
      <c r="D41" s="50" t="n">
        <f aca="false">SUM(D37:D40)</f>
        <v>3</v>
      </c>
    </row>
    <row r="43" customFormat="false" ht="19.5" hidden="false" customHeight="true" outlineLevel="0" collapsed="false">
      <c r="A43" s="6" t="s">
        <v>48</v>
      </c>
      <c r="B43" s="6"/>
      <c r="C43" s="6"/>
      <c r="D43" s="6"/>
    </row>
    <row r="44" customFormat="false" ht="30" hidden="false" customHeight="true" outlineLevel="0" collapsed="false">
      <c r="A44" s="15" t="s">
        <v>80</v>
      </c>
      <c r="B44" s="17" t="s">
        <v>306</v>
      </c>
      <c r="C44" s="18" t="s">
        <v>307</v>
      </c>
      <c r="D44" s="19" t="s">
        <v>308</v>
      </c>
    </row>
    <row r="45" customFormat="false" ht="15" hidden="false" customHeight="false" outlineLevel="0" collapsed="false">
      <c r="A45" s="37" t="s">
        <v>86</v>
      </c>
      <c r="B45" s="49" t="n">
        <f aca="false">COUNTIFS('Claims Detail'!$C:$C,$A45,'Claims Detail'!$V:$V,"No")</f>
        <v>0</v>
      </c>
      <c r="C45" s="49" t="n">
        <f aca="false">COUNTIFS('Claims Detail'!$C:$C,$A45,'Claims Detail'!$W:$W,"No")</f>
        <v>2</v>
      </c>
      <c r="D45" s="49" t="n">
        <f aca="false">COUNTIFS('Claims Detail'!$C:$C,$A45,'Claims Detail'!$X:$X,"No")</f>
        <v>0</v>
      </c>
    </row>
    <row r="46" customFormat="false" ht="15" hidden="false" customHeight="false" outlineLevel="0" collapsed="false">
      <c r="A46" s="37" t="s">
        <v>87</v>
      </c>
      <c r="B46" s="49" t="n">
        <f aca="false">COUNTIFS('Claims Detail'!$C:$C,$A46,'Claims Detail'!$V:$V,"No")</f>
        <v>3</v>
      </c>
      <c r="C46" s="49" t="n">
        <f aca="false">COUNTIFS('Claims Detail'!$C:$C,$A46,'Claims Detail'!$W:$W,"No")</f>
        <v>2</v>
      </c>
      <c r="D46" s="49" t="n">
        <f aca="false">COUNTIFS('Claims Detail'!$C:$C,$A46,'Claims Detail'!$X:$X,"No")</f>
        <v>2</v>
      </c>
    </row>
    <row r="47" customFormat="false" ht="15" hidden="false" customHeight="false" outlineLevel="0" collapsed="false">
      <c r="A47" s="37" t="s">
        <v>88</v>
      </c>
      <c r="B47" s="49" t="n">
        <f aca="false">COUNTIFS('Claims Detail'!$C:$C,$A47,'Claims Detail'!$V:$V,"No")</f>
        <v>3</v>
      </c>
      <c r="C47" s="49" t="n">
        <f aca="false">COUNTIFS('Claims Detail'!$C:$C,$A47,'Claims Detail'!$W:$W,"No")</f>
        <v>6</v>
      </c>
      <c r="D47" s="49" t="n">
        <f aca="false">COUNTIFS('Claims Detail'!$C:$C,$A47,'Claims Detail'!$X:$X,"No")</f>
        <v>1</v>
      </c>
    </row>
    <row r="48" customFormat="false" ht="15" hidden="false" customHeight="false" outlineLevel="0" collapsed="false">
      <c r="A48" s="37" t="s">
        <v>89</v>
      </c>
      <c r="B48" s="49" t="n">
        <f aca="false">COUNTIFS('Claims Detail'!$C:$C,$A48,'Claims Detail'!$V:$V,"No")</f>
        <v>0</v>
      </c>
      <c r="C48" s="49" t="n">
        <f aca="false">COUNTIFS('Claims Detail'!$C:$C,$A48,'Claims Detail'!$W:$W,"No")</f>
        <v>0</v>
      </c>
      <c r="D48" s="49" t="n">
        <f aca="false">COUNTIFS('Claims Detail'!$C:$C,$A48,'Claims Detail'!$X:$X,"No")</f>
        <v>2</v>
      </c>
    </row>
    <row r="49" customFormat="false" ht="15" hidden="false" customHeight="false" outlineLevel="0" collapsed="false">
      <c r="A49" s="22" t="s">
        <v>90</v>
      </c>
      <c r="B49" s="50" t="n">
        <f aca="false">SUM(B45:B48)</f>
        <v>6</v>
      </c>
      <c r="C49" s="50" t="n">
        <f aca="false">SUM(C45:C48)</f>
        <v>10</v>
      </c>
      <c r="D49" s="50" t="n">
        <f aca="false">SUM(D45:D48)</f>
        <v>5</v>
      </c>
    </row>
    <row r="51" customFormat="false" ht="19.5" hidden="false" customHeight="true" outlineLevel="0" collapsed="false">
      <c r="A51" s="6" t="s">
        <v>49</v>
      </c>
      <c r="B51" s="6"/>
      <c r="C51" s="6"/>
      <c r="D51" s="6"/>
    </row>
    <row r="52" customFormat="false" ht="30" hidden="false" customHeight="true" outlineLevel="0" collapsed="false">
      <c r="A52" s="15" t="s">
        <v>80</v>
      </c>
      <c r="B52" s="17" t="s">
        <v>306</v>
      </c>
      <c r="C52" s="18" t="s">
        <v>307</v>
      </c>
      <c r="D52" s="19" t="s">
        <v>308</v>
      </c>
    </row>
    <row r="53" customFormat="false" ht="15" hidden="false" customHeight="false" outlineLevel="0" collapsed="false">
      <c r="A53" s="37" t="s">
        <v>86</v>
      </c>
      <c r="B53" s="26" t="n">
        <f aca="false">SUMIFS('Claims Detail'!$I:$I,'Claims Detail'!$C:$C,$A53,'Claims Detail'!$V:$V,"No")</f>
        <v>0</v>
      </c>
      <c r="C53" s="26" t="n">
        <f aca="false">SUMIFS('Claims Detail'!$I:$I,'Claims Detail'!$C:$C,$A53,'Claims Detail'!$W:$W,"No")</f>
        <v>119642.94</v>
      </c>
      <c r="D53" s="26" t="n">
        <f aca="false">SUMIFS('Claims Detail'!$I:$I,'Claims Detail'!$C:$C,$A53,'Claims Detail'!$X:$X,"No")</f>
        <v>0</v>
      </c>
    </row>
    <row r="54" customFormat="false" ht="15" hidden="false" customHeight="false" outlineLevel="0" collapsed="false">
      <c r="A54" s="37" t="s">
        <v>87</v>
      </c>
      <c r="B54" s="26" t="n">
        <f aca="false">SUMIFS('Claims Detail'!$I:$I,'Claims Detail'!$C:$C,$A54,'Claims Detail'!$V:$V,"No")</f>
        <v>24615.71</v>
      </c>
      <c r="C54" s="26" t="n">
        <f aca="false">SUMIFS('Claims Detail'!$I:$I,'Claims Detail'!$C:$C,$A54,'Claims Detail'!$W:$W,"No")</f>
        <v>12013.96</v>
      </c>
      <c r="D54" s="26" t="n">
        <f aca="false">SUMIFS('Claims Detail'!$I:$I,'Claims Detail'!$C:$C,$A54,'Claims Detail'!$X:$X,"No")</f>
        <v>4263.98</v>
      </c>
    </row>
    <row r="55" customFormat="false" ht="15" hidden="false" customHeight="false" outlineLevel="0" collapsed="false">
      <c r="A55" s="37" t="s">
        <v>88</v>
      </c>
      <c r="B55" s="26" t="n">
        <f aca="false">SUMIFS('Claims Detail'!$I:$I,'Claims Detail'!$C:$C,$A55,'Claims Detail'!$V:$V,"No")</f>
        <v>1972.81</v>
      </c>
      <c r="C55" s="26" t="n">
        <f aca="false">SUMIFS('Claims Detail'!$I:$I,'Claims Detail'!$C:$C,$A55,'Claims Detail'!$W:$W,"No")</f>
        <v>4759.28</v>
      </c>
      <c r="D55" s="26" t="n">
        <f aca="false">SUMIFS('Claims Detail'!$I:$I,'Claims Detail'!$C:$C,$A55,'Claims Detail'!$X:$X,"No")</f>
        <v>351.49</v>
      </c>
    </row>
    <row r="56" customFormat="false" ht="15" hidden="false" customHeight="false" outlineLevel="0" collapsed="false">
      <c r="A56" s="37" t="s">
        <v>89</v>
      </c>
      <c r="B56" s="26" t="n">
        <f aca="false">SUMIFS('Claims Detail'!$I:$I,'Claims Detail'!$C:$C,$A56,'Claims Detail'!$V:$V,"No")</f>
        <v>0</v>
      </c>
      <c r="C56" s="26" t="n">
        <f aca="false">SUMIFS('Claims Detail'!$I:$I,'Claims Detail'!$C:$C,$A56,'Claims Detail'!$W:$W,"No")</f>
        <v>0</v>
      </c>
      <c r="D56" s="26" t="n">
        <f aca="false">SUMIFS('Claims Detail'!$I:$I,'Claims Detail'!$C:$C,$A56,'Claims Detail'!$X:$X,"No")</f>
        <v>3466.73</v>
      </c>
    </row>
    <row r="57" customFormat="false" ht="15" hidden="false" customHeight="false" outlineLevel="0" collapsed="false">
      <c r="A57" s="22" t="s">
        <v>90</v>
      </c>
      <c r="B57" s="25" t="n">
        <f aca="false">SUM(B53:B56)</f>
        <v>26588.52</v>
      </c>
      <c r="C57" s="25" t="n">
        <f aca="false">SUM(C53:C56)</f>
        <v>136416.18</v>
      </c>
      <c r="D57" s="25" t="n">
        <f aca="false">SUM(D53:D56)</f>
        <v>8082.2</v>
      </c>
    </row>
    <row r="59" customFormat="false" ht="19.5" hidden="false" customHeight="true" outlineLevel="0" collapsed="false">
      <c r="A59" s="6" t="s">
        <v>314</v>
      </c>
      <c r="B59" s="6"/>
      <c r="C59" s="6"/>
      <c r="D59" s="6"/>
    </row>
    <row r="60" customFormat="false" ht="30" hidden="false" customHeight="true" outlineLevel="0" collapsed="false">
      <c r="A60" s="15" t="s">
        <v>80</v>
      </c>
      <c r="B60" s="17" t="s">
        <v>306</v>
      </c>
      <c r="C60" s="18" t="s">
        <v>307</v>
      </c>
      <c r="D60" s="19" t="s">
        <v>308</v>
      </c>
    </row>
    <row r="61" customFormat="false" ht="15" hidden="false" customHeight="false" outlineLevel="0" collapsed="false">
      <c r="A61" s="37" t="s">
        <v>86</v>
      </c>
      <c r="B61" s="39" t="n">
        <f aca="false">IFERROR(B53/$D29,0)</f>
        <v>0</v>
      </c>
      <c r="C61" s="39" t="n">
        <f aca="false">IFERROR(C53/$D29,0)</f>
        <v>0.222760694219511</v>
      </c>
      <c r="D61" s="39" t="n">
        <f aca="false">IFERROR(D53/$D29,0)</f>
        <v>0</v>
      </c>
    </row>
    <row r="62" customFormat="false" ht="15" hidden="false" customHeight="false" outlineLevel="0" collapsed="false">
      <c r="A62" s="37" t="s">
        <v>87</v>
      </c>
      <c r="B62" s="39" t="n">
        <f aca="false">IFERROR(B54/$D30,0)</f>
        <v>0.332082343792917</v>
      </c>
      <c r="C62" s="39" t="n">
        <f aca="false">IFERROR(C54/$D30,0)</f>
        <v>0.162076332351752</v>
      </c>
      <c r="D62" s="39" t="n">
        <f aca="false">IFERROR(D54/$D30,0)</f>
        <v>0.0575239337921239</v>
      </c>
    </row>
    <row r="63" customFormat="false" ht="15" hidden="false" customHeight="false" outlineLevel="0" collapsed="false">
      <c r="A63" s="37" t="s">
        <v>88</v>
      </c>
      <c r="B63" s="39" t="n">
        <f aca="false">IFERROR(B55/$D31,0)</f>
        <v>0.220835539476056</v>
      </c>
      <c r="C63" s="39" t="n">
        <f aca="false">IFERROR(C55/$D31,0)</f>
        <v>0.532751844484569</v>
      </c>
      <c r="D63" s="39" t="n">
        <f aca="false">IFERROR(D55/$D31,0)</f>
        <v>0.0393456459417981</v>
      </c>
    </row>
    <row r="64" customFormat="false" ht="15" hidden="false" customHeight="false" outlineLevel="0" collapsed="false">
      <c r="A64" s="37" t="s">
        <v>89</v>
      </c>
      <c r="B64" s="39" t="n">
        <f aca="false">IFERROR(B56/$D32,0)</f>
        <v>0</v>
      </c>
      <c r="C64" s="39" t="n">
        <f aca="false">IFERROR(C56/$D32,0)</f>
        <v>0</v>
      </c>
      <c r="D64" s="39" t="n">
        <f aca="false">IFERROR(D56/$D32,0)</f>
        <v>0.158170481547317</v>
      </c>
    </row>
    <row r="65" customFormat="false" ht="15" hidden="false" customHeight="false" outlineLevel="0" collapsed="false">
      <c r="A65" s="22" t="s">
        <v>90</v>
      </c>
      <c r="B65" s="42" t="n">
        <f aca="false">IFERROR(B57/$D$33,0)</f>
        <v>0.041410742391875</v>
      </c>
      <c r="C65" s="42" t="n">
        <f aca="false">IFERROR(C57/$D$33,0)</f>
        <v>0.212463698169873</v>
      </c>
      <c r="D65" s="42" t="n">
        <f aca="false">IFERROR(D57/$D$33,0)</f>
        <v>0.012587759760965</v>
      </c>
    </row>
  </sheetData>
  <mergeCells count="8">
    <mergeCell ref="A1:H1"/>
    <mergeCell ref="A2:H2"/>
    <mergeCell ref="A4:H4"/>
    <mergeCell ref="A27:E27"/>
    <mergeCell ref="A35:D35"/>
    <mergeCell ref="A43:D43"/>
    <mergeCell ref="A51:D51"/>
    <mergeCell ref="A59:D5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LibreOffice/26.8.0.3$MacOSX_X86_64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2026-09-14T13:22:15Z</dcterms:created>
  <dc:creator>openpyxl</dc:creator>
  <dc:description/>
  <dc:language>en-GB</dc:language>
  <cp:lastModifiedBy/>
  <dcterms:modified xsi:type="dcterms:W3CDTF">2026-09-14T13:22:15Z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