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4.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Summary" sheetId="2" state="visible" r:id="rId4"/>
    <sheet name="Underwriting" sheetId="3" state="visible" r:id="rId5"/>
    <sheet name="Vendor Cost Comparison" sheetId="4" state="visible" r:id="rId6"/>
    <sheet name="Disruption Analysis" sheetId="5" state="visible" r:id="rId7"/>
    <sheet name="Claims Detail" sheetId="6" state="visible" r:id="rId8"/>
    <sheet name="Claims Experience" sheetId="7" state="visible" r:id="rId9"/>
    <sheet name="Network Disruption" sheetId="8" state="visible" r:id="rId10"/>
  </sheets>
  <definedNames>
    <definedName function="false" hidden="true" localSheetId="5" name="_xlnm._FilterDatabase" vbProcedure="false">'Claims Detail'!$A$2:$AC$50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<sst xmlns="http://schemas.openxmlformats.org/spreadsheetml/2006/main" count="840" uniqueCount="351">
  <si>
    <t xml:space="preserve">Pharmacy (Rx) Claims RFP Repricing Analysis</t>
  </si>
  <si>
    <t xml:space="preserve">Illustrative PBM Vendor Comparison — Sample / Demonstration Workbook</t>
  </si>
  <si>
    <t xml:space="preserve">DISCLAIMER: This workbook is for illustrative purposes only and does not reflect any actual client or vendor data. All member IDs, claim IDs, NDCs, drug names, dollar amounts, AWP discount percentages, dispensing fees, rebate guarantees, and vendor names are fictitious sample data generated for demonstration purposes. This is a template, not real member/PHI data, and is not a quote or proposal from any actual PBM, pharmacy, or consulting firm.</t>
  </si>
  <si>
    <t xml:space="preserve">Client:</t>
  </si>
  <si>
    <t xml:space="preserve">Sample Client, Inc. (Illustrative)</t>
  </si>
  <si>
    <t xml:space="preserve">Prepared By:</t>
  </si>
  <si>
    <t xml:space="preserve">Sample Benefits Consulting Group</t>
  </si>
  <si>
    <t xml:space="preserve">Analysis Period:</t>
  </si>
  <si>
    <t xml:space="preserve">July 2025 – June 2026 (Sample Claims, 12 Months)</t>
  </si>
  <si>
    <t xml:space="preserve">Prepared For:</t>
  </si>
  <si>
    <t xml:space="preserve">Pharmacy Benefit Manager (PBM) RFP — AWP Repricing / Network Comparison</t>
  </si>
  <si>
    <t xml:space="preserve">Report Date:</t>
  </si>
  <si>
    <t xml:space="preserve">September 14, 2026</t>
  </si>
  <si>
    <t xml:space="preserve">Vendors Included in This Comparison</t>
  </si>
  <si>
    <t xml:space="preserve">Incumbent</t>
  </si>
  <si>
    <t xml:space="preserve">Current PBM / retail pharmacy network — renewal repricing shown for comparison, 0% disruption by definition.</t>
  </si>
  <si>
    <t xml:space="preserve">Vendor A</t>
  </si>
  <si>
    <t xml:space="preserve">Broad retail pharmacy network. Modest AWP discount improvement over the incumbent with minimal pharmacy disruption.</t>
  </si>
  <si>
    <t xml:space="preserve">Vendor B</t>
  </si>
  <si>
    <t xml:space="preserve">Preferred/narrow retail pharmacy network. Deepest AWP discounts and lowest dispensing fees, but the greatest potential pharmacy disruption and the weakest rebate guarantee.</t>
  </si>
  <si>
    <t xml:space="preserve">Vendor C</t>
  </si>
  <si>
    <t xml:space="preserve">Standard retail pharmacy network. A middle ground on discounts and disruption, with the strongest rebate guarantee.</t>
  </si>
  <si>
    <t xml:space="preserve">How to Use This Workbook</t>
  </si>
  <si>
    <t xml:space="preserve">1. "Summary" — a one-page executive overview: headline figures only (Projected Annual Drug Spend, vendor factors/savings after rebates, and pharmacy disruption counts), pulled by formula from the tabs below.</t>
  </si>
  <si>
    <t xml:space="preserve">2. "Underwriting" — a renewal utilization/spend projection (trend, IBNR completion) from the 'Claims Experience' tab, ending in a Projected Annual Drug Spend (gross, before vendor-specific rebates).</t>
  </si>
  <si>
    <t xml:space="preserve">3. "Vendor Cost Comparison" — leads with the Vendor Pricing Terms (AWP discount % by drug category, dispensing fee by channel, and rebate guarantee % by drug category, for the incumbent, its renewal, and all three vendors - the source-of-truth grid every net cost on 'Claims Detail' pulls from live). Then a Category Allocation assumption splits the gross projection into Retail Brand/Retail Generic/Mail Brand/Mail Generic/Specialty, and the Gross Cost -&gt; Rebate $ -&gt; Net Cost calculation is shown line by line for each drug type, plus Brand vs. Generic and Specialty vs. Non-Specialty rollups.</t>
  </si>
  <si>
    <t xml:space="preserve">4. "Disruption Analysis" — each vendor's out-of-network retail pharmacy impact (pharmacies, claims, and $), pulled from the 'Network Disruption' tab. Mail and Specialty are excluded since those are always filled through the awarded vendor's own pharmacy.</t>
  </si>
  <si>
    <t xml:space="preserve">5. "Claims Experience" — the trailing 24-month monthly Rx utilization data (500+ life group: enrolled members, traditional vs. specialty net cost, PMPM) that feeds the Underwriting tab.</t>
  </si>
  <si>
    <t xml:space="preserve">6. "Claims Detail" — every sample claim line with AWP, and each option's net cost computed live as AWP x (1 - AWP discount %) + dispensing fee (looked up from the pricing terms on 'Vendor Cost Comparison'), plus each vendor's in-network pharmacy status, with savings computed by formula.</t>
  </si>
  <si>
    <t xml:space="preserve">7. "Network Disruption" — the retail pharmacy network directory and the out-of-network pharmacies/claims/$/% by category that feeds the Disruption Analysis tab.</t>
  </si>
  <si>
    <t xml:space="preserve">Summary — Executive Overview</t>
  </si>
  <si>
    <t xml:space="preserve">Illustrative sample exhibit. Headline figures only, pulled by formula from the 'Underwriting', 'Vendor Cost Comparison', and 'Disruption Analysis' tabs - see those tabs for full detail (category-level breakdowns, assumptions, and pharmacy-level data).</t>
  </si>
  <si>
    <t xml:space="preserve">Cost Projection (see 'Underwriting' tab)</t>
  </si>
  <si>
    <t xml:space="preserve">Projected Enrollment (New Plan Year)</t>
  </si>
  <si>
    <t xml:space="preserve">Trended, Projected PMPM</t>
  </si>
  <si>
    <t xml:space="preserve">Projected Annual Drug Spend (Gross, New Plan Year)</t>
  </si>
  <si>
    <t xml:space="preserve">Vendor Cost Comparison (see 'Vendor Cost Comparison' tab)</t>
  </si>
  <si>
    <t xml:space="preserve">Metric</t>
  </si>
  <si>
    <t xml:space="preserve">Incumbent Baseline
(Projected Cost)</t>
  </si>
  <si>
    <t xml:space="preserve">Incumbent
Renewal</t>
  </si>
  <si>
    <t xml:space="preserve">Retail Pharmacy Network</t>
  </si>
  <si>
    <t xml:space="preserve">Overall Repricing Factor</t>
  </si>
  <si>
    <t xml:space="preserve">Overall Gross Savings % (Pre-Rebate)</t>
  </si>
  <si>
    <t xml:space="preserve">Net Cost After Rebates (True Bottom Line)</t>
  </si>
  <si>
    <t xml:space="preserve">Total Net Savings $ vs. Baseline</t>
  </si>
  <si>
    <t xml:space="preserve">Best Option (Highest Net Savings % After Rebates)</t>
  </si>
  <si>
    <t xml:space="preserve">Disruption Analysis (see 'Disruption Analysis' tab)</t>
  </si>
  <si>
    <t xml:space="preserve">Out-of-Network Pharmacies (of 8)</t>
  </si>
  <si>
    <t xml:space="preserve">Out-of-Network Claims (Count)</t>
  </si>
  <si>
    <t xml:space="preserve">Out-of-Network Claims $</t>
  </si>
  <si>
    <t xml:space="preserve">Out-of-Network Claims %</t>
  </si>
  <si>
    <t xml:space="preserve">Lowest Disruption Option</t>
  </si>
  <si>
    <t xml:space="preserve">Underwriting — Renewal Rx Cost Projection</t>
  </si>
  <si>
    <t xml:space="preserve">Illustrative sample exhibit for a 500+ life group. Blue text = editable assumption; black = calculated formula. Source data: the 'Claims Experience' tab. This projects GROSS drug spend (post-AWP-discount, pre-rebate) - vendor-specific rebate guarantees are applied on the 'Vendor Cost Comparison' tab.</t>
  </si>
  <si>
    <t xml:space="preserve">Renewal Underwriting Projection (Experience Period = Most Recent 12 Months; see 'Claims Experience' tab for source data)</t>
  </si>
  <si>
    <t xml:space="preserve">Member Months (Experience Period)</t>
  </si>
  <si>
    <t xml:space="preserve">Total Net Cost (Experience Period)</t>
  </si>
  <si>
    <t xml:space="preserve">Gross PMPM</t>
  </si>
  <si>
    <t xml:space="preserve">Completion Factor (IBNR Adjustment) — Assumption</t>
  </si>
  <si>
    <t xml:space="preserve">Completed PMPM</t>
  </si>
  <si>
    <t xml:space="preserve">Annual Trend Rate (Blended Rx, Specialty-Weighted) — Assumption</t>
  </si>
  <si>
    <t xml:space="preserve">Trend Period (Months, Midpoint-to-Midpoint) — Assumption</t>
  </si>
  <si>
    <t xml:space="preserve">Trend Factor</t>
  </si>
  <si>
    <t xml:space="preserve">Projected Enrollment (Members, New Plan Year, Assumes Stable Census)</t>
  </si>
  <si>
    <t xml:space="preserve">Vendor Cost Comparison — AWP Repricing Analysis</t>
  </si>
  <si>
    <t xml:space="preserve">Illustrative sample exhibit. Blue text = editable assumption; black = calculated formula. The Incumbent Baseline below is the Projected Annual Drug Spend from the 'Underwriting' tab, split by the Category Allocation assumption, repriced using each vendor's AWP discount % and dispensing fee (below), then reduced by each vendor's rebate guarantee - shown by drug category, not just in aggregate - for the true net cost.</t>
  </si>
  <si>
    <t xml:space="preserve">Vendor Pricing Terms</t>
  </si>
  <si>
    <t xml:space="preserve">AWP Discount % by Drug Category</t>
  </si>
  <si>
    <t xml:space="preserve">Current (Incumbent)</t>
  </si>
  <si>
    <t xml:space="preserve">Incumbent Renewal</t>
  </si>
  <si>
    <t xml:space="preserve">Retail Brand</t>
  </si>
  <si>
    <t xml:space="preserve">Retail Generic</t>
  </si>
  <si>
    <t xml:space="preserve">Mail Brand</t>
  </si>
  <si>
    <t xml:space="preserve">Mail Generic</t>
  </si>
  <si>
    <t xml:space="preserve">Specialty</t>
  </si>
  <si>
    <t xml:space="preserve">Dispensing Fee ($/Script) by Channel</t>
  </si>
  <si>
    <t xml:space="preserve">Retail</t>
  </si>
  <si>
    <t xml:space="preserve">Mail Order</t>
  </si>
  <si>
    <t xml:space="preserve">Specialty Pharmacy</t>
  </si>
  <si>
    <t xml:space="preserve">Rebate Guarantee % of Gross Cost by Drug Category (Brand &amp; Specialty Only)</t>
  </si>
  <si>
    <t xml:space="preserve">Category Allocation — Share of Projected Annual Drug Spend (Assumption)</t>
  </si>
  <si>
    <t xml:space="preserve">Retail Brand — Share of Projected Annual Spend — Assumption</t>
  </si>
  <si>
    <t xml:space="preserve">Retail Generic — Share of Projected Annual Spend — Assumption</t>
  </si>
  <si>
    <t xml:space="preserve">Mail Brand — Share of Projected Annual Spend — Assumption</t>
  </si>
  <si>
    <t xml:space="preserve">Mail Generic — Share of Projected Annual Spend — Assumption</t>
  </si>
  <si>
    <t xml:space="preserve">Specialty — Share of Projected Annual Spend — Assumption</t>
  </si>
  <si>
    <t xml:space="preserve">Category Mix Check (Should Equal 100%)</t>
  </si>
  <si>
    <t xml:space="preserve">Vendor Repricing — AWP Discount + Dispensing Fee Factor Applied to Projected Spend</t>
  </si>
  <si>
    <t xml:space="preserve">Each vendor has ONE overall repricing Factor, blended across all sample claims on 'Claims Detail' (Factor = Net Cost at vendor's AWP discount % and dispensing fee, divided by Current Net Cost; 0.85x = 15% gross savings), applied to the Incumbent Baseline split out below by the Category Allocation assumption above. The Gross -&gt; Rebate -&gt; Net calculation is then shown line by line for each drug type.</t>
  </si>
  <si>
    <t xml:space="preserve">Drug Category</t>
  </si>
  <si>
    <t xml:space="preserve">Current Network</t>
  </si>
  <si>
    <t xml:space="preserve">Broad Retail Network</t>
  </si>
  <si>
    <t xml:space="preserve">Preferred / Narrow Retail Network</t>
  </si>
  <si>
    <t xml:space="preserve">Standard Retail Network</t>
  </si>
  <si>
    <t xml:space="preserve">Projected Annual Drug Spend by Category — Gross, Rebate, and Net (Calculation Shown by Drug Type)</t>
  </si>
  <si>
    <t xml:space="preserve">Gross Cost by Category (Pre-Rebate)</t>
  </si>
  <si>
    <t xml:space="preserve">TOTAL</t>
  </si>
  <si>
    <t xml:space="preserve">Total Gross Baseline reconciles to the Projected Annual Drug Spend on the 'Underwriting' tab (when the Category Allocation above sums to 100%).</t>
  </si>
  <si>
    <t xml:space="preserve">Less: Rebate $ by Category (Gross Cost x Rebate Guarantee %)</t>
  </si>
  <si>
    <t xml:space="preserve">Net Cost by Category (After Rebates - True Bottom Line)</t>
  </si>
  <si>
    <t xml:space="preserve">Alternate Views — Brand vs. Generic, and Specialty vs. Non-Specialty (Net Cost, Same $, Cut Differently)</t>
  </si>
  <si>
    <t xml:space="preserve">Brand (Retail + Mail)</t>
  </si>
  <si>
    <t xml:space="preserve">Generic (Retail + Mail)</t>
  </si>
  <si>
    <t xml:space="preserve">Non-Specialty (Brand + Generic)</t>
  </si>
  <si>
    <t xml:space="preserve">Total Net Savings %</t>
  </si>
  <si>
    <t xml:space="preserve">Disruption Analysis — In-Network vs. Out-of-Network Retail Pharmacy Impact</t>
  </si>
  <si>
    <t xml:space="preserve">Illustrative sample exhibit. Figures below are overall totals pulled from the 'Network Disruption' tab, which holds the full provider-level detail. Scoped to Retail Brand/Retail Generic claims only - Mail and Specialty are always filled through the awarded vendor's own pharmacy.</t>
  </si>
  <si>
    <t xml:space="preserve">Retail Pharmacy Disruption — In-Network vs. Out-of-Network Claims Impact</t>
  </si>
  <si>
    <t xml:space="preserve">Out-of-Network % is the share of Retail Brand/Retail Generic claims dollars going to pharmacies outside each vendor's network, computed from the sample claims on 'Claims Detail'. See the 'Network Disruption' tab for full pharmacy-level detail. The Incumbent has 0% disruption by definition (it is the current network).</t>
  </si>
  <si>
    <t xml:space="preserve">Claims Detail — Sample Rx Claims with AWP, Current Net Cost, and Vendor Repricing</t>
  </si>
  <si>
    <t xml:space="preserve">Claim ID</t>
  </si>
  <si>
    <t xml:space="preserve">Member ID</t>
  </si>
  <si>
    <t xml:space="preserve">Drug Name</t>
  </si>
  <si>
    <t xml:space="preserve">NDC</t>
  </si>
  <si>
    <t xml:space="preserve">Brand/Generic</t>
  </si>
  <si>
    <t xml:space="preserve">Channel</t>
  </si>
  <si>
    <t xml:space="preserve">Pharmacy / Fulfillment</t>
  </si>
  <si>
    <t xml:space="preserve">Fill Date</t>
  </si>
  <si>
    <t xml:space="preserve">AWP Per Unit</t>
  </si>
  <si>
    <t xml:space="preserve">Quantity</t>
  </si>
  <si>
    <t xml:space="preserve">Days Supply</t>
  </si>
  <si>
    <t xml:space="preserve">Total AWP</t>
  </si>
  <si>
    <t xml:space="preserve">Current Net Cost
(Incumbent - In Force)</t>
  </si>
  <si>
    <t xml:space="preserve">Incumbent Renewal
Net Cost</t>
  </si>
  <si>
    <t xml:space="preserve">Incumbent
Savings $</t>
  </si>
  <si>
    <t xml:space="preserve">Incumbent
Savings %</t>
  </si>
  <si>
    <t xml:space="preserve">Vendor A
Net Cost</t>
  </si>
  <si>
    <t xml:space="preserve">Vendor A
Savings $</t>
  </si>
  <si>
    <t xml:space="preserve">Vendor A
Savings %</t>
  </si>
  <si>
    <t xml:space="preserve">Vendor B
Net Cost</t>
  </si>
  <si>
    <t xml:space="preserve">Vendor B
Savings $</t>
  </si>
  <si>
    <t xml:space="preserve">Vendor B
Savings %</t>
  </si>
  <si>
    <t xml:space="preserve">Vendor C
Net Cost</t>
  </si>
  <si>
    <t xml:space="preserve">Vendor C
Savings $</t>
  </si>
  <si>
    <t xml:space="preserve">Vendor C
Savings %</t>
  </si>
  <si>
    <t xml:space="preserve">Vendor A
In-Network?</t>
  </si>
  <si>
    <t xml:space="preserve">Vendor B
In-Network?</t>
  </si>
  <si>
    <t xml:space="preserve">Vendor C
In-Network?</t>
  </si>
  <si>
    <t xml:space="preserve">RX-5040</t>
  </si>
  <si>
    <t xml:space="preserve">MBR-3028</t>
  </si>
  <si>
    <t xml:space="preserve">Lisinopril (90-Day)</t>
  </si>
  <si>
    <t xml:space="preserve">31692-1784-73</t>
  </si>
  <si>
    <t xml:space="preserve">Generic</t>
  </si>
  <si>
    <t xml:space="preserve">Mail Order (Current PBM)</t>
  </si>
  <si>
    <t xml:space="preserve">N/A</t>
  </si>
  <si>
    <t xml:space="preserve">RX-5005</t>
  </si>
  <si>
    <t xml:space="preserve">MBR-3036</t>
  </si>
  <si>
    <t xml:space="preserve">Symbicort</t>
  </si>
  <si>
    <t xml:space="preserve">62775-3266-59</t>
  </si>
  <si>
    <t xml:space="preserve">Brand</t>
  </si>
  <si>
    <t xml:space="preserve">Kroger Pharmacy</t>
  </si>
  <si>
    <t xml:space="preserve">Yes</t>
  </si>
  <si>
    <t xml:space="preserve">No</t>
  </si>
  <si>
    <t xml:space="preserve">RX-5006</t>
  </si>
  <si>
    <t xml:space="preserve">MBR-3003</t>
  </si>
  <si>
    <t xml:space="preserve">92899-1646-55</t>
  </si>
  <si>
    <t xml:space="preserve">CVS Pharmacy</t>
  </si>
  <si>
    <t xml:space="preserve">RX-5020</t>
  </si>
  <si>
    <t xml:space="preserve">MBR-3008</t>
  </si>
  <si>
    <t xml:space="preserve">Omeprazole</t>
  </si>
  <si>
    <t xml:space="preserve">16422-4475-85</t>
  </si>
  <si>
    <t xml:space="preserve">Walmart Pharmacy</t>
  </si>
  <si>
    <t xml:space="preserve">RX-5022</t>
  </si>
  <si>
    <t xml:space="preserve">MBR-3050</t>
  </si>
  <si>
    <t xml:space="preserve">Metformin</t>
  </si>
  <si>
    <t xml:space="preserve">95549-6620-17</t>
  </si>
  <si>
    <t xml:space="preserve">Rite Aid</t>
  </si>
  <si>
    <t xml:space="preserve">RX-5013</t>
  </si>
  <si>
    <t xml:space="preserve">MBR-3030</t>
  </si>
  <si>
    <t xml:space="preserve">Sertraline</t>
  </si>
  <si>
    <t xml:space="preserve">48671-9862-45</t>
  </si>
  <si>
    <t xml:space="preserve">Walgreens</t>
  </si>
  <si>
    <t xml:space="preserve">RX-5028</t>
  </si>
  <si>
    <t xml:space="preserve">MBR-3020</t>
  </si>
  <si>
    <t xml:space="preserve">Gabapentin</t>
  </si>
  <si>
    <t xml:space="preserve">40100-4111-72</t>
  </si>
  <si>
    <t xml:space="preserve">Costco Pharmacy</t>
  </si>
  <si>
    <t xml:space="preserve">RX-5010</t>
  </si>
  <si>
    <t xml:space="preserve">MBR-3055</t>
  </si>
  <si>
    <t xml:space="preserve">72377-2689-27</t>
  </si>
  <si>
    <t xml:space="preserve">RX-5033</t>
  </si>
  <si>
    <t xml:space="preserve">MBR-3044</t>
  </si>
  <si>
    <t xml:space="preserve">Eliquis (90-Day)</t>
  </si>
  <si>
    <t xml:space="preserve">72895-2113-45</t>
  </si>
  <si>
    <t xml:space="preserve">RX-5034</t>
  </si>
  <si>
    <t xml:space="preserve">MBR-3000</t>
  </si>
  <si>
    <t xml:space="preserve">Jardiance (90-Day)</t>
  </si>
  <si>
    <t xml:space="preserve">86319-7865-65</t>
  </si>
  <si>
    <t xml:space="preserve">RX-5039</t>
  </si>
  <si>
    <t xml:space="preserve">MBR-3023</t>
  </si>
  <si>
    <t xml:space="preserve">Metformin (90-Day)</t>
  </si>
  <si>
    <t xml:space="preserve">88348-2802-54</t>
  </si>
  <si>
    <t xml:space="preserve">RX-5043</t>
  </si>
  <si>
    <t xml:space="preserve">MBR-3012</t>
  </si>
  <si>
    <t xml:space="preserve">Atorvastatin (90-Day)</t>
  </si>
  <si>
    <t xml:space="preserve">73296-2755-88</t>
  </si>
  <si>
    <t xml:space="preserve">RX-5017</t>
  </si>
  <si>
    <t xml:space="preserve">MBR-3054</t>
  </si>
  <si>
    <t xml:space="preserve">Levothyroxine</t>
  </si>
  <si>
    <t xml:space="preserve">47161-2411-77</t>
  </si>
  <si>
    <t xml:space="preserve">Publix Pharmacy</t>
  </si>
  <si>
    <t xml:space="preserve">RX-5042</t>
  </si>
  <si>
    <t xml:space="preserve">72019-2652-75</t>
  </si>
  <si>
    <t xml:space="preserve">RX-5004</t>
  </si>
  <si>
    <t xml:space="preserve">MBR-3022</t>
  </si>
  <si>
    <t xml:space="preserve">Vraylar</t>
  </si>
  <si>
    <t xml:space="preserve">17391-7620-84</t>
  </si>
  <si>
    <t xml:space="preserve">RX-5003</t>
  </si>
  <si>
    <t xml:space="preserve">MBR-3058</t>
  </si>
  <si>
    <t xml:space="preserve">23956-5455-66</t>
  </si>
  <si>
    <t xml:space="preserve">RX-5014</t>
  </si>
  <si>
    <t xml:space="preserve">MBR-3001</t>
  </si>
  <si>
    <t xml:space="preserve">19273-1584-12</t>
  </si>
  <si>
    <t xml:space="preserve">RX-5046</t>
  </si>
  <si>
    <t xml:space="preserve">MBR-3056</t>
  </si>
  <si>
    <t xml:space="preserve">Ocrevus</t>
  </si>
  <si>
    <t xml:space="preserve">14134-3701-32</t>
  </si>
  <si>
    <t xml:space="preserve">Specialty Pharmacy (Current PBM)</t>
  </si>
  <si>
    <t xml:space="preserve">RX-5026</t>
  </si>
  <si>
    <t xml:space="preserve">MBR-3052</t>
  </si>
  <si>
    <t xml:space="preserve">92991-3858-79</t>
  </si>
  <si>
    <t xml:space="preserve">RX-5018</t>
  </si>
  <si>
    <t xml:space="preserve">MBR-3049</t>
  </si>
  <si>
    <t xml:space="preserve">58256-8832-93</t>
  </si>
  <si>
    <t xml:space="preserve">RX-5023</t>
  </si>
  <si>
    <t xml:space="preserve">MBR-3005</t>
  </si>
  <si>
    <t xml:space="preserve">20329-6890-68</t>
  </si>
  <si>
    <t xml:space="preserve">RX-5002</t>
  </si>
  <si>
    <t xml:space="preserve">MBR-3053</t>
  </si>
  <si>
    <t xml:space="preserve">Trelegy Ellipta</t>
  </si>
  <si>
    <t xml:space="preserve">37792-6388-21</t>
  </si>
  <si>
    <t xml:space="preserve">RX-5001</t>
  </si>
  <si>
    <t xml:space="preserve">Xarelto</t>
  </si>
  <si>
    <t xml:space="preserve">83413-8170-86</t>
  </si>
  <si>
    <t xml:space="preserve">RX-5036</t>
  </si>
  <si>
    <t xml:space="preserve">Trelegy Ellipta (90-Day)</t>
  </si>
  <si>
    <t xml:space="preserve">32223-7323-59</t>
  </si>
  <si>
    <t xml:space="preserve">RX-5044</t>
  </si>
  <si>
    <t xml:space="preserve">17615-6872-72</t>
  </si>
  <si>
    <t xml:space="preserve">RX-5045</t>
  </si>
  <si>
    <t xml:space="preserve">MBR-3034</t>
  </si>
  <si>
    <t xml:space="preserve">Humira</t>
  </si>
  <si>
    <t xml:space="preserve">35433-9351-56</t>
  </si>
  <si>
    <t xml:space="preserve">RX-5012</t>
  </si>
  <si>
    <t xml:space="preserve">74162-9296-44</t>
  </si>
  <si>
    <t xml:space="preserve">RX-5048</t>
  </si>
  <si>
    <t xml:space="preserve">Stelara</t>
  </si>
  <si>
    <t xml:space="preserve">93676-8374-94</t>
  </si>
  <si>
    <t xml:space="preserve">RX-5037</t>
  </si>
  <si>
    <t xml:space="preserve">MBR-3048</t>
  </si>
  <si>
    <t xml:space="preserve">13170-5999-46</t>
  </si>
  <si>
    <t xml:space="preserve">RX-5009</t>
  </si>
  <si>
    <t xml:space="preserve">MBR-3009</t>
  </si>
  <si>
    <t xml:space="preserve">Eliquis</t>
  </si>
  <si>
    <t xml:space="preserve">11075-4930-21</t>
  </si>
  <si>
    <t xml:space="preserve">Main Street Drugs (Independent)</t>
  </si>
  <si>
    <t xml:space="preserve">RX-5041</t>
  </si>
  <si>
    <t xml:space="preserve">96920-5193-27</t>
  </si>
  <si>
    <t xml:space="preserve">RX-5021</t>
  </si>
  <si>
    <t xml:space="preserve">MBR-3033</t>
  </si>
  <si>
    <t xml:space="preserve">Atorvastatin</t>
  </si>
  <si>
    <t xml:space="preserve">86876-2964-91</t>
  </si>
  <si>
    <t xml:space="preserve">RX-5019</t>
  </si>
  <si>
    <t xml:space="preserve">59614-6065-20</t>
  </si>
  <si>
    <t xml:space="preserve">RX-5015</t>
  </si>
  <si>
    <t xml:space="preserve">MBR-3032</t>
  </si>
  <si>
    <t xml:space="preserve">Amlodipine</t>
  </si>
  <si>
    <t xml:space="preserve">98963-2361-64</t>
  </si>
  <si>
    <t xml:space="preserve">RX-5032</t>
  </si>
  <si>
    <t xml:space="preserve">79048-8322-47</t>
  </si>
  <si>
    <t xml:space="preserve">RX-5047</t>
  </si>
  <si>
    <t xml:space="preserve">MBR-3017</t>
  </si>
  <si>
    <t xml:space="preserve">49890-1861-79</t>
  </si>
  <si>
    <t xml:space="preserve">RX-5011</t>
  </si>
  <si>
    <t xml:space="preserve">MBR-3010</t>
  </si>
  <si>
    <t xml:space="preserve">29550-1411-16</t>
  </si>
  <si>
    <t xml:space="preserve">RX-5024</t>
  </si>
  <si>
    <t xml:space="preserve">29509-9118-61</t>
  </si>
  <si>
    <t xml:space="preserve">RX-5007</t>
  </si>
  <si>
    <t xml:space="preserve">71802-2559-28</t>
  </si>
  <si>
    <t xml:space="preserve">RX-5030</t>
  </si>
  <si>
    <t xml:space="preserve">MBR-3041</t>
  </si>
  <si>
    <t xml:space="preserve">54509-8033-34</t>
  </si>
  <si>
    <t xml:space="preserve">RX-5038</t>
  </si>
  <si>
    <t xml:space="preserve">85547-2253-59</t>
  </si>
  <si>
    <t xml:space="preserve">RX-5027</t>
  </si>
  <si>
    <t xml:space="preserve">MBR-3035</t>
  </si>
  <si>
    <t xml:space="preserve">77058-2172-32</t>
  </si>
  <si>
    <t xml:space="preserve">RX-5025</t>
  </si>
  <si>
    <t xml:space="preserve">MBR-3027</t>
  </si>
  <si>
    <t xml:space="preserve">24361-1515-58</t>
  </si>
  <si>
    <t xml:space="preserve">RX-5029</t>
  </si>
  <si>
    <t xml:space="preserve">MBR-3047</t>
  </si>
  <si>
    <t xml:space="preserve">62679-2579-37</t>
  </si>
  <si>
    <t xml:space="preserve">RX-5031</t>
  </si>
  <si>
    <t xml:space="preserve">Xarelto (90-Day)</t>
  </si>
  <si>
    <t xml:space="preserve">43320-6810-38</t>
  </si>
  <si>
    <t xml:space="preserve">RX-5035</t>
  </si>
  <si>
    <t xml:space="preserve">23396-8214-79</t>
  </si>
  <si>
    <t xml:space="preserve">RX-5008</t>
  </si>
  <si>
    <t xml:space="preserve">56261-7807-83</t>
  </si>
  <si>
    <t xml:space="preserve">RX-5016</t>
  </si>
  <si>
    <t xml:space="preserve">MBR-3018</t>
  </si>
  <si>
    <t xml:space="preserve">74005-9724-98</t>
  </si>
  <si>
    <t xml:space="preserve">TOTALS</t>
  </si>
  <si>
    <t xml:space="preserve">Claims Experience — Trailing 24-Month Group Rx Utilization Data (Sample)</t>
  </si>
  <si>
    <t xml:space="preserve">Illustrative monthly aggregate Rx utilization/spend for the group, used by the Renewal Underwriting Projection on the 'Underwriting' tab. This is a separate dataset from the per-claim line items on 'Claims Detail', which feed the vendor repricing comparison.</t>
  </si>
  <si>
    <t xml:space="preserve">Trailing 24-Month Rx Utilization &amp; Spend</t>
  </si>
  <si>
    <t xml:space="preserve">Month</t>
  </si>
  <si>
    <t xml:space="preserve">Enrolled Members</t>
  </si>
  <si>
    <t xml:space="preserve">Traditional Net Cost
(Retail + Mail)</t>
  </si>
  <si>
    <t xml:space="preserve">Specialty Net Cost</t>
  </si>
  <si>
    <t xml:space="preserve">Total Net Cost</t>
  </si>
  <si>
    <t xml:space="preserve">PMPM</t>
  </si>
  <si>
    <t xml:space="preserve">Aug-24</t>
  </si>
  <si>
    <t xml:space="preserve">Sep-24</t>
  </si>
  <si>
    <t xml:space="preserve">Oct-24</t>
  </si>
  <si>
    <t xml:space="preserve">Nov-24</t>
  </si>
  <si>
    <t xml:space="preserve">Dec-24</t>
  </si>
  <si>
    <t xml:space="preserve">Jan-25</t>
  </si>
  <si>
    <t xml:space="preserve">Feb-25</t>
  </si>
  <si>
    <t xml:space="preserve">Mar-25</t>
  </si>
  <si>
    <t xml:space="preserve">Apr-25</t>
  </si>
  <si>
    <t xml:space="preserve">May-25</t>
  </si>
  <si>
    <t xml:space="preserve">Jun-25</t>
  </si>
  <si>
    <t xml:space="preserve">Jul-25</t>
  </si>
  <si>
    <t xml:space="preserve">Aug-25</t>
  </si>
  <si>
    <t xml:space="preserve">Sep-25</t>
  </si>
  <si>
    <t xml:space="preserve">Oct-25</t>
  </si>
  <si>
    <t xml:space="preserve">Nov-25</t>
  </si>
  <si>
    <t xml:space="preserve">Dec-25</t>
  </si>
  <si>
    <t xml:space="preserve">Jan-26</t>
  </si>
  <si>
    <t xml:space="preserve">Feb-26</t>
  </si>
  <si>
    <t xml:space="preserve">Mar-26</t>
  </si>
  <si>
    <t xml:space="preserve">Apr-26</t>
  </si>
  <si>
    <t xml:space="preserve">May-26</t>
  </si>
  <si>
    <t xml:space="preserve">Jun-26</t>
  </si>
  <si>
    <t xml:space="preserve">Jul-26</t>
  </si>
  <si>
    <t xml:space="preserve">Network Disruption — Retail Pharmacy Network Status &amp; Out-of-Network Impact (Sample)</t>
  </si>
  <si>
    <t xml:space="preserve">Illustrative retail pharmacy network match for each vendor. Scoped to Retail Brand and Retail Generic claims only - Mail and Specialty claims are always filled through the awarded vendor's own mail/specialty pharmacy, so out-of-network disruption doesn't apply to them.</t>
  </si>
  <si>
    <t xml:space="preserve">Retail Pharmacy Network Directory</t>
  </si>
  <si>
    <t xml:space="preserve">Pharmacy Name</t>
  </si>
  <si>
    <t xml:space="preserve">Vendor A
Broad Retail Network</t>
  </si>
  <si>
    <t xml:space="preserve">Vendor B
Preferred / Narrow Retail Network</t>
  </si>
  <si>
    <t xml:space="preserve">Vendor C
Standard Retail Network</t>
  </si>
  <si>
    <t xml:space="preserve">Category Totals (Reference, Retail Only)</t>
  </si>
  <si>
    <t xml:space="preserve">Total Pharmacies</t>
  </si>
  <si>
    <t xml:space="preserve">Total Claims</t>
  </si>
  <si>
    <t xml:space="preserve">Total Net Cost $</t>
  </si>
  <si>
    <t xml:space="preserve">Out-of-Network Pharmacies (Count, Network-Wide)</t>
  </si>
  <si>
    <t xml:space="preserve">Out-of-Network Claims % (of Category Net Cost $)</t>
  </si>
</sst>
</file>

<file path=xl/styles.xml><?xml version="1.0" encoding="utf-8"?>
<styleSheet xmlns="http://schemas.openxmlformats.org/spreadsheetml/2006/main">
  <numFmts count="10">
    <numFmt numFmtId="164" formatCode="General"/>
    <numFmt numFmtId="165" formatCode="#,##0"/>
    <numFmt numFmtId="166" formatCode="\$#,##0.00;&quot;($&quot;#,##0.00\)"/>
    <numFmt numFmtId="167" formatCode="\$#,##0;&quot;($&quot;#,##0\)"/>
    <numFmt numFmtId="168" formatCode="0.00\x"/>
    <numFmt numFmtId="169" formatCode="0.0%;\(0.0%\)"/>
    <numFmt numFmtId="170" formatCode="0"/>
    <numFmt numFmtId="171" formatCode="0.00%;\(0.00%\)"/>
    <numFmt numFmtId="172" formatCode="mm/dd/yyyy"/>
    <numFmt numFmtId="173" formatCode="\$#,##0.0000"/>
  </numFmts>
  <fonts count="13">
    <font>
      <sz val="11"/>
      <color theme="1"/>
      <name val="Calibri"/>
      <family val="2"/>
      <charset val="1"/>
    </font>
    <font>
      <sz val="10"/>
      <name val="Arial"/>
      <family val="0"/>
    </font>
    <font>
      <sz val="10"/>
      <name val="Arial"/>
      <family val="0"/>
    </font>
    <font>
      <sz val="10"/>
      <name val="Arial"/>
      <family val="0"/>
    </font>
    <font>
      <b val="true"/>
      <sz val="18"/>
      <color rgb="FF1F3864"/>
      <name val="Arial"/>
      <family val="0"/>
      <charset val="1"/>
    </font>
    <font>
      <i val="true"/>
      <sz val="11"/>
      <color rgb="FF595959"/>
      <name val="Arial"/>
      <family val="0"/>
      <charset val="1"/>
    </font>
    <font>
      <i val="true"/>
      <sz val="10"/>
      <color rgb="FFC00000"/>
      <name val="Arial"/>
      <family val="0"/>
      <charset val="1"/>
    </font>
    <font>
      <b val="true"/>
      <sz val="10"/>
      <name val="Arial"/>
      <family val="0"/>
      <charset val="1"/>
    </font>
    <font>
      <sz val="10"/>
      <name val="Arial"/>
      <family val="0"/>
      <charset val="1"/>
    </font>
    <font>
      <b val="true"/>
      <sz val="12"/>
      <color rgb="FF1F3864"/>
      <name val="Arial"/>
      <family val="0"/>
      <charset val="1"/>
    </font>
    <font>
      <b val="true"/>
      <sz val="11"/>
      <color rgb="FF1F3864"/>
      <name val="Arial"/>
      <family val="0"/>
      <charset val="1"/>
    </font>
    <font>
      <b val="true"/>
      <sz val="10"/>
      <color rgb="FFFFFFFF"/>
      <name val="Arial"/>
      <family val="0"/>
      <charset val="1"/>
    </font>
    <font>
      <sz val="10"/>
      <color rgb="FF0000FF"/>
      <name val="Arial"/>
      <family val="0"/>
      <charset val="1"/>
    </font>
  </fonts>
  <fills count="11">
    <fill>
      <patternFill patternType="none"/>
    </fill>
    <fill>
      <patternFill patternType="gray125"/>
    </fill>
    <fill>
      <patternFill patternType="solid">
        <fgColor rgb="FFFFE699"/>
        <bgColor rgb="FFF8CBAD"/>
      </patternFill>
    </fill>
    <fill>
      <patternFill patternType="solid">
        <fgColor rgb="FF1F3864"/>
        <bgColor rgb="FF333333"/>
      </patternFill>
    </fill>
    <fill>
      <patternFill patternType="solid">
        <fgColor rgb="FF7F7F7F"/>
        <bgColor rgb="FF969696"/>
      </patternFill>
    </fill>
    <fill>
      <patternFill patternType="solid">
        <fgColor rgb="FF2E75B6"/>
        <bgColor rgb="FF0066CC"/>
      </patternFill>
    </fill>
    <fill>
      <patternFill patternType="solid">
        <fgColor rgb="FF548235"/>
        <bgColor rgb="FF339966"/>
      </patternFill>
    </fill>
    <fill>
      <patternFill patternType="solid">
        <fgColor rgb="FFBF8F00"/>
        <bgColor rgb="FFFF6600"/>
      </patternFill>
    </fill>
    <fill>
      <patternFill patternType="solid">
        <fgColor rgb="FFD9E2F3"/>
        <bgColor rgb="FFEAF1FB"/>
      </patternFill>
    </fill>
    <fill>
      <patternFill patternType="solid">
        <fgColor rgb="FFC6E0B4"/>
        <bgColor rgb="FFD9E2F3"/>
      </patternFill>
    </fill>
    <fill>
      <patternFill patternType="solid">
        <fgColor rgb="FFEAF1FB"/>
        <bgColor rgb="FFD9E2F3"/>
      </patternFill>
    </fill>
  </fills>
  <borders count="3">
    <border diagonalUp="false" diagonalDown="false">
      <left/>
      <right/>
      <top/>
      <bottom/>
      <diagonal/>
    </border>
    <border diagonalUp="false" diagonalDown="false">
      <left style="thin">
        <color rgb="FFB7B7B7"/>
      </left>
      <right/>
      <top style="thin">
        <color rgb="FFB7B7B7"/>
      </top>
      <bottom style="thin">
        <color rgb="FFB7B7B7"/>
      </bottom>
      <diagonal/>
    </border>
    <border diagonalUp="false" diagonalDown="false">
      <left style="thin">
        <color rgb="FFB7B7B7"/>
      </left>
      <right style="thin">
        <color rgb="FFB7B7B7"/>
      </right>
      <top style="thin">
        <color rgb="FFB7B7B7"/>
      </top>
      <bottom style="thin">
        <color rgb="FFB7B7B7"/>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bottom" textRotation="0" wrapText="tru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5" fontId="8" fillId="0" borderId="2" xfId="0" applyFont="true" applyBorder="true" applyAlignment="true" applyProtection="false">
      <alignment horizontal="right" vertical="bottom" textRotation="0" wrapText="false" indent="0" shrinkToFit="false"/>
      <protection locked="true" hidden="false"/>
    </xf>
    <xf numFmtId="166" fontId="8" fillId="0" borderId="2" xfId="0" applyFont="true" applyBorder="true" applyAlignment="true" applyProtection="false">
      <alignment horizontal="right"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7" fontId="10" fillId="2" borderId="2" xfId="0" applyFont="true" applyBorder="true" applyAlignment="true" applyProtection="false">
      <alignment horizontal="right" vertical="bottom" textRotation="0" wrapText="false" indent="0" shrinkToFit="false"/>
      <protection locked="true" hidden="false"/>
    </xf>
    <xf numFmtId="164" fontId="11" fillId="3" borderId="2" xfId="0" applyFont="true" applyBorder="true" applyAlignment="true" applyProtection="false">
      <alignment horizontal="center" vertical="center" textRotation="0" wrapText="true" indent="0" shrinkToFit="false"/>
      <protection locked="true" hidden="false"/>
    </xf>
    <xf numFmtId="164" fontId="11" fillId="4" borderId="2" xfId="0" applyFont="true" applyBorder="true" applyAlignment="true" applyProtection="false">
      <alignment horizontal="center" vertical="center" textRotation="0" wrapText="true" indent="0" shrinkToFit="false"/>
      <protection locked="true" hidden="false"/>
    </xf>
    <xf numFmtId="164" fontId="11" fillId="5" borderId="2" xfId="0" applyFont="true" applyBorder="true" applyAlignment="true" applyProtection="false">
      <alignment horizontal="center" vertical="center" textRotation="0" wrapText="true" indent="0" shrinkToFit="false"/>
      <protection locked="true" hidden="false"/>
    </xf>
    <xf numFmtId="164" fontId="11" fillId="6" borderId="2" xfId="0" applyFont="true" applyBorder="true" applyAlignment="true" applyProtection="false">
      <alignment horizontal="center" vertical="center" textRotation="0" wrapText="true" indent="0" shrinkToFit="false"/>
      <protection locked="true" hidden="false"/>
    </xf>
    <xf numFmtId="164" fontId="11" fillId="7" borderId="2" xfId="0" applyFont="true" applyBorder="true" applyAlignment="true" applyProtection="false">
      <alignment horizontal="center" vertical="center" textRotation="0" wrapText="true" indent="0" shrinkToFit="false"/>
      <protection locked="true" hidden="false"/>
    </xf>
    <xf numFmtId="164" fontId="7" fillId="0" borderId="2" xfId="0" applyFont="true" applyBorder="true" applyAlignment="false" applyProtection="false">
      <alignment horizontal="general" vertical="bottom" textRotation="0" wrapText="false" indent="0" shrinkToFit="false"/>
      <protection locked="true" hidden="false"/>
    </xf>
    <xf numFmtId="164" fontId="8" fillId="0" borderId="2" xfId="0" applyFont="true" applyBorder="true" applyAlignment="true" applyProtection="false">
      <alignment horizontal="center" vertical="bottom" textRotation="0" wrapText="true" indent="0" shrinkToFit="false"/>
      <protection locked="true" hidden="false"/>
    </xf>
    <xf numFmtId="164" fontId="7" fillId="8" borderId="2" xfId="0" applyFont="true" applyBorder="true" applyAlignment="false" applyProtection="false">
      <alignment horizontal="general" vertical="bottom" textRotation="0" wrapText="false" indent="0" shrinkToFit="false"/>
      <protection locked="true" hidden="false"/>
    </xf>
    <xf numFmtId="168" fontId="8" fillId="8" borderId="2" xfId="0" applyFont="true" applyBorder="true" applyAlignment="true" applyProtection="false">
      <alignment horizontal="center" vertical="bottom" textRotation="0" wrapText="false" indent="0" shrinkToFit="false"/>
      <protection locked="true" hidden="false"/>
    </xf>
    <xf numFmtId="169" fontId="8" fillId="8" borderId="2" xfId="0" applyFont="true" applyBorder="true" applyAlignment="true" applyProtection="false">
      <alignment horizontal="center" vertical="bottom" textRotation="0" wrapText="false" indent="0" shrinkToFit="false"/>
      <protection locked="true" hidden="false"/>
    </xf>
    <xf numFmtId="167" fontId="7" fillId="8" borderId="2" xfId="0" applyFont="true" applyBorder="true" applyAlignment="false" applyProtection="false">
      <alignment horizontal="general" vertical="bottom" textRotation="0" wrapText="false" indent="0" shrinkToFit="false"/>
      <protection locked="true" hidden="false"/>
    </xf>
    <xf numFmtId="167" fontId="8" fillId="0" borderId="2" xfId="0" applyFont="true" applyBorder="true" applyAlignment="false" applyProtection="false">
      <alignment horizontal="general" vertical="bottom" textRotation="0" wrapText="false" indent="0" shrinkToFit="false"/>
      <protection locked="true" hidden="false"/>
    </xf>
    <xf numFmtId="164" fontId="10" fillId="9" borderId="1" xfId="0" applyFont="true" applyBorder="true" applyAlignment="true" applyProtection="false">
      <alignment horizontal="left" vertical="bottom" textRotation="0" wrapText="false" indent="0" shrinkToFit="false"/>
      <protection locked="true" hidden="false"/>
    </xf>
    <xf numFmtId="165" fontId="8" fillId="8" borderId="2" xfId="0" applyFont="true" applyBorder="true" applyAlignment="true" applyProtection="false">
      <alignment horizontal="center" vertical="bottom" textRotation="0" wrapText="false" indent="0" shrinkToFit="false"/>
      <protection locked="true" hidden="false"/>
    </xf>
    <xf numFmtId="167" fontId="8" fillId="8" borderId="2" xfId="0" applyFont="true" applyBorder="true" applyAlignment="true" applyProtection="false">
      <alignment horizontal="center" vertical="bottom" textRotation="0" wrapText="false" indent="0" shrinkToFit="false"/>
      <protection locked="true" hidden="false"/>
    </xf>
    <xf numFmtId="167" fontId="8" fillId="0" borderId="2" xfId="0" applyFont="true" applyBorder="true" applyAlignment="true" applyProtection="false">
      <alignment horizontal="right" vertical="bottom" textRotation="0" wrapText="false" indent="0" shrinkToFit="false"/>
      <protection locked="true" hidden="false"/>
    </xf>
    <xf numFmtId="168" fontId="12" fillId="0" borderId="2" xfId="0" applyFont="true" applyBorder="true" applyAlignment="true" applyProtection="false">
      <alignment horizontal="right" vertical="bottom" textRotation="0" wrapText="false" indent="0" shrinkToFit="false"/>
      <protection locked="true" hidden="false"/>
    </xf>
    <xf numFmtId="169" fontId="12" fillId="0" borderId="2" xfId="0" applyFont="true" applyBorder="true" applyAlignment="true" applyProtection="false">
      <alignment horizontal="right" vertical="bottom" textRotation="0" wrapText="false" indent="0" shrinkToFit="false"/>
      <protection locked="true" hidden="false"/>
    </xf>
    <xf numFmtId="170" fontId="12" fillId="0" borderId="2" xfId="0" applyFont="true" applyBorder="true" applyAlignment="true" applyProtection="false">
      <alignment horizontal="right" vertical="bottom" textRotation="0" wrapText="false" indent="0" shrinkToFit="false"/>
      <protection locked="true" hidden="false"/>
    </xf>
    <xf numFmtId="168" fontId="8" fillId="0" borderId="2" xfId="0" applyFont="true" applyBorder="true" applyAlignment="true" applyProtection="false">
      <alignment horizontal="right" vertical="bottom" textRotation="0" wrapText="false" indent="0" shrinkToFit="false"/>
      <protection locked="true" hidden="false"/>
    </xf>
    <xf numFmtId="164" fontId="8" fillId="0" borderId="2" xfId="0" applyFont="true" applyBorder="true" applyAlignment="false" applyProtection="false">
      <alignment horizontal="general" vertical="bottom" textRotation="0" wrapText="false" indent="0" shrinkToFit="false"/>
      <protection locked="true" hidden="false"/>
    </xf>
    <xf numFmtId="171" fontId="12" fillId="0" borderId="2" xfId="0" applyFont="true" applyBorder="true" applyAlignment="true" applyProtection="false">
      <alignment horizontal="center" vertical="bottom" textRotation="0" wrapText="false" indent="0" shrinkToFit="false"/>
      <protection locked="true" hidden="false"/>
    </xf>
    <xf numFmtId="166" fontId="12" fillId="0" borderId="2" xfId="0" applyFont="true" applyBorder="true" applyAlignment="true" applyProtection="false">
      <alignment horizontal="center" vertical="bottom" textRotation="0" wrapText="false" indent="0" shrinkToFit="false"/>
      <protection locked="true" hidden="false"/>
    </xf>
    <xf numFmtId="169" fontId="8" fillId="0" borderId="2" xfId="0" applyFont="true" applyBorder="true" applyAlignment="true" applyProtection="false">
      <alignment horizontal="right" vertical="bottom" textRotation="0" wrapText="false" indent="0" shrinkToFit="false"/>
      <protection locked="true" hidden="false"/>
    </xf>
    <xf numFmtId="164" fontId="7" fillId="2" borderId="2" xfId="0" applyFont="true" applyBorder="true" applyAlignment="false" applyProtection="false">
      <alignment horizontal="general" vertical="bottom" textRotation="0" wrapText="false" indent="0" shrinkToFit="false"/>
      <protection locked="true" hidden="false"/>
    </xf>
    <xf numFmtId="167" fontId="10" fillId="2" borderId="2" xfId="0" applyFont="true" applyBorder="true" applyAlignment="false" applyProtection="false">
      <alignment horizontal="general" vertical="bottom" textRotation="0" wrapText="false" indent="0" shrinkToFit="false"/>
      <protection locked="true" hidden="false"/>
    </xf>
    <xf numFmtId="169" fontId="8" fillId="0" borderId="2" xfId="0" applyFont="true" applyBorder="true" applyAlignment="false" applyProtection="false">
      <alignment horizontal="general" vertical="bottom" textRotation="0" wrapText="false" indent="0" shrinkToFit="false"/>
      <protection locked="true" hidden="false"/>
    </xf>
    <xf numFmtId="172" fontId="8" fillId="0" borderId="2" xfId="0" applyFont="true" applyBorder="true" applyAlignment="false" applyProtection="false">
      <alignment horizontal="general" vertical="bottom" textRotation="0" wrapText="false" indent="0" shrinkToFit="false"/>
      <protection locked="true" hidden="false"/>
    </xf>
    <xf numFmtId="173" fontId="8" fillId="0" borderId="2" xfId="0" applyFont="true" applyBorder="true" applyAlignment="false" applyProtection="false">
      <alignment horizontal="general" vertical="bottom" textRotation="0" wrapText="false" indent="0" shrinkToFit="false"/>
      <protection locked="true" hidden="false"/>
    </xf>
    <xf numFmtId="164" fontId="8" fillId="0" borderId="2" xfId="0" applyFont="true" applyBorder="true" applyAlignment="true" applyProtection="false">
      <alignment horizontal="center" vertical="bottom" textRotation="0" wrapText="false" indent="0" shrinkToFit="false"/>
      <protection locked="true" hidden="false"/>
    </xf>
    <xf numFmtId="164" fontId="7" fillId="8" borderId="0" xfId="0" applyFont="true" applyBorder="false" applyAlignment="false" applyProtection="false">
      <alignment horizontal="general" vertical="bottom" textRotation="0" wrapText="false" indent="0" shrinkToFit="false"/>
      <protection locked="true" hidden="false"/>
    </xf>
    <xf numFmtId="169" fontId="7" fillId="8" borderId="2" xfId="0" applyFont="true" applyBorder="true" applyAlignment="false" applyProtection="false">
      <alignment horizontal="general" vertical="bottom" textRotation="0" wrapText="false" indent="0" shrinkToFit="false"/>
      <protection locked="true" hidden="false"/>
    </xf>
    <xf numFmtId="166" fontId="8" fillId="0" borderId="2" xfId="0" applyFont="true" applyBorder="true" applyAlignment="false" applyProtection="false">
      <alignment horizontal="general" vertical="bottom" textRotation="0" wrapText="false" indent="0" shrinkToFit="false"/>
      <protection locked="true" hidden="false"/>
    </xf>
    <xf numFmtId="164" fontId="8" fillId="10" borderId="2" xfId="0" applyFont="true" applyBorder="true" applyAlignment="false" applyProtection="false">
      <alignment horizontal="general" vertical="bottom" textRotation="0" wrapText="false" indent="0" shrinkToFit="false"/>
      <protection locked="true" hidden="false"/>
    </xf>
    <xf numFmtId="167" fontId="8" fillId="10" borderId="2" xfId="0" applyFont="true" applyBorder="true" applyAlignment="false" applyProtection="false">
      <alignment horizontal="general" vertical="bottom" textRotation="0" wrapText="false" indent="0" shrinkToFit="false"/>
      <protection locked="true" hidden="false"/>
    </xf>
    <xf numFmtId="166" fontId="8" fillId="10" borderId="2" xfId="0" applyFont="true" applyBorder="true" applyAlignment="false" applyProtection="false">
      <alignment horizontal="general" vertical="bottom" textRotation="0" wrapText="false" indent="0" shrinkToFit="false"/>
      <protection locked="true" hidden="false"/>
    </xf>
    <xf numFmtId="165" fontId="8" fillId="8" borderId="2" xfId="0" applyFont="true" applyBorder="true" applyAlignment="false" applyProtection="false">
      <alignment horizontal="general" vertical="bottom" textRotation="0" wrapText="false" indent="0" shrinkToFit="false"/>
      <protection locked="true" hidden="false"/>
    </xf>
    <xf numFmtId="165" fontId="8" fillId="0" borderId="2" xfId="0" applyFont="true" applyBorder="true" applyAlignment="false" applyProtection="false">
      <alignment horizontal="general" vertical="bottom" textRotation="0" wrapText="false" indent="0" shrinkToFit="false"/>
      <protection locked="true" hidden="false"/>
    </xf>
    <xf numFmtId="165" fontId="7" fillId="8" borderId="2"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ill>
        <patternFill>
          <bgColor rgb="FFC6E0B4"/>
        </patternFill>
      </fill>
    </dxf>
    <dxf>
      <fill>
        <patternFill>
          <bgColor rgb="FFF8CBAD"/>
        </patternFill>
      </fill>
    </dxf>
    <dxf>
      <fill>
        <patternFill patternType="solid">
          <fgColor rgb="FF1F3864"/>
          <bgColor rgb="FF000000"/>
        </patternFill>
      </fill>
    </dxf>
    <dxf>
      <fill>
        <patternFill patternType="solid">
          <bgColor rgb="FF000000"/>
        </patternFill>
      </fill>
    </dxf>
    <dxf>
      <fill>
        <patternFill patternType="solid">
          <fgColor rgb="FFFFFFFF"/>
          <bgColor rgb="FF000000"/>
        </patternFill>
      </fill>
    </dxf>
    <dxf>
      <fill>
        <patternFill patternType="solid">
          <fgColor rgb="FF7F7F7F"/>
          <bgColor rgb="FF000000"/>
        </patternFill>
      </fill>
    </dxf>
    <dxf>
      <fill>
        <patternFill patternType="solid">
          <fgColor rgb="FF2E75B6"/>
          <bgColor rgb="FF000000"/>
        </patternFill>
      </fill>
    </dxf>
    <dxf>
      <fill>
        <patternFill patternType="solid">
          <fgColor rgb="FF548235"/>
          <bgColor rgb="FF000000"/>
        </patternFill>
      </fill>
    </dxf>
    <dxf>
      <fill>
        <patternFill patternType="solid">
          <fgColor rgb="FFBF8F00"/>
          <bgColor rgb="FF000000"/>
        </patternFill>
      </fill>
    </dxf>
  </dxfs>
  <colors>
    <indexedColors>
      <rgbColor rgb="FF000000"/>
      <rgbColor rgb="FFFFFFFF"/>
      <rgbColor rgb="FFC00000"/>
      <rgbColor rgb="FF00FF00"/>
      <rgbColor rgb="FF0000FF"/>
      <rgbColor rgb="FFFFFF00"/>
      <rgbColor rgb="FFFF00FF"/>
      <rgbColor rgb="FF00FFFF"/>
      <rgbColor rgb="FF800000"/>
      <rgbColor rgb="FF008000"/>
      <rgbColor rgb="FF000080"/>
      <rgbColor rgb="FF548235"/>
      <rgbColor rgb="FF800080"/>
      <rgbColor rgb="FF008080"/>
      <rgbColor rgb="FFB7B7B7"/>
      <rgbColor rgb="FF7F7F7F"/>
      <rgbColor rgb="FF9999FF"/>
      <rgbColor rgb="FF993366"/>
      <rgbColor rgb="FFFFFFCC"/>
      <rgbColor rgb="FFEAF1FB"/>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CCFFFF"/>
      <rgbColor rgb="FFC6E0B4"/>
      <rgbColor rgb="FFFFE699"/>
      <rgbColor rgb="FF99CCFF"/>
      <rgbColor rgb="FFFF99CC"/>
      <rgbColor rgb="FFCC99FF"/>
      <rgbColor rgb="FFF8CBAD"/>
      <rgbColor rgb="FF2E75B6"/>
      <rgbColor rgb="FF33CCCC"/>
      <rgbColor rgb="FF99CC00"/>
      <rgbColor rgb="FFFFCC00"/>
      <rgbColor rgb="FFBF8F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pitchFamily="0" charset="1"/>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6.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3:F2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6" min="2" style="0" width="22"/>
    <col collapsed="false" customWidth="true" hidden="false" outlineLevel="0" max="7" min="7" style="0" width="3"/>
  </cols>
  <sheetData>
    <row r="3" customFormat="false" ht="22.05" hidden="false" customHeight="false" outlineLevel="0" collapsed="false">
      <c r="B3" s="1" t="s">
        <v>0</v>
      </c>
      <c r="C3" s="1"/>
      <c r="D3" s="1"/>
      <c r="E3" s="1"/>
      <c r="F3" s="1"/>
    </row>
    <row r="4" customFormat="false" ht="15" hidden="false" customHeight="false" outlineLevel="0" collapsed="false">
      <c r="B4" s="2" t="s">
        <v>1</v>
      </c>
      <c r="C4" s="2"/>
      <c r="D4" s="2"/>
      <c r="E4" s="2"/>
      <c r="F4" s="2"/>
    </row>
    <row r="6" customFormat="false" ht="33.75" hidden="false" customHeight="true" outlineLevel="0" collapsed="false">
      <c r="B6" s="3" t="s">
        <v>2</v>
      </c>
      <c r="C6" s="3"/>
      <c r="D6" s="3"/>
      <c r="E6" s="3"/>
      <c r="F6" s="3"/>
    </row>
    <row r="7" customFormat="false" ht="33.75" hidden="false" customHeight="true" outlineLevel="0" collapsed="false">
      <c r="B7" s="3"/>
      <c r="C7" s="3"/>
      <c r="D7" s="3"/>
      <c r="E7" s="3"/>
      <c r="F7" s="3"/>
    </row>
    <row r="9" customFormat="false" ht="15" hidden="false" customHeight="false" outlineLevel="0" collapsed="false">
      <c r="B9" s="4" t="s">
        <v>3</v>
      </c>
      <c r="C9" s="5" t="s">
        <v>4</v>
      </c>
    </row>
    <row r="10" customFormat="false" ht="15" hidden="false" customHeight="false" outlineLevel="0" collapsed="false">
      <c r="B10" s="4" t="s">
        <v>5</v>
      </c>
      <c r="C10" s="5" t="s">
        <v>6</v>
      </c>
    </row>
    <row r="11" customFormat="false" ht="15" hidden="false" customHeight="false" outlineLevel="0" collapsed="false">
      <c r="B11" s="4" t="s">
        <v>7</v>
      </c>
      <c r="C11" s="5" t="s">
        <v>8</v>
      </c>
    </row>
    <row r="12" customFormat="false" ht="15" hidden="false" customHeight="false" outlineLevel="0" collapsed="false">
      <c r="B12" s="4" t="s">
        <v>9</v>
      </c>
      <c r="C12" s="5" t="s">
        <v>10</v>
      </c>
    </row>
    <row r="13" customFormat="false" ht="15" hidden="false" customHeight="false" outlineLevel="0" collapsed="false">
      <c r="B13" s="4" t="s">
        <v>11</v>
      </c>
      <c r="C13" s="5" t="s">
        <v>12</v>
      </c>
    </row>
    <row r="15" customFormat="false" ht="15" hidden="false" customHeight="false" outlineLevel="0" collapsed="false">
      <c r="B15" s="6" t="s">
        <v>13</v>
      </c>
      <c r="C15" s="6"/>
      <c r="D15" s="6"/>
      <c r="E15" s="6"/>
      <c r="F15" s="6"/>
    </row>
    <row r="16" customFormat="false" ht="15" hidden="false" customHeight="false" outlineLevel="0" collapsed="false">
      <c r="B16" s="4" t="s">
        <v>14</v>
      </c>
      <c r="C16" s="7" t="s">
        <v>15</v>
      </c>
      <c r="D16" s="7"/>
      <c r="E16" s="7"/>
      <c r="F16" s="7"/>
    </row>
    <row r="17" customFormat="false" ht="15" hidden="false" customHeight="false" outlineLevel="0" collapsed="false">
      <c r="B17" s="4" t="s">
        <v>16</v>
      </c>
      <c r="C17" s="7" t="s">
        <v>17</v>
      </c>
      <c r="D17" s="7"/>
      <c r="E17" s="7"/>
      <c r="F17" s="7"/>
    </row>
    <row r="18" customFormat="false" ht="15" hidden="false" customHeight="false" outlineLevel="0" collapsed="false">
      <c r="B18" s="4" t="s">
        <v>18</v>
      </c>
      <c r="C18" s="7" t="s">
        <v>19</v>
      </c>
      <c r="D18" s="7"/>
      <c r="E18" s="7"/>
      <c r="F18" s="7"/>
    </row>
    <row r="19" customFormat="false" ht="15" hidden="false" customHeight="false" outlineLevel="0" collapsed="false">
      <c r="B19" s="4" t="s">
        <v>20</v>
      </c>
      <c r="C19" s="7" t="s">
        <v>21</v>
      </c>
      <c r="D19" s="7"/>
      <c r="E19" s="7"/>
      <c r="F19" s="7"/>
    </row>
    <row r="21" customFormat="false" ht="15" hidden="false" customHeight="false" outlineLevel="0" collapsed="false">
      <c r="B21" s="6" t="s">
        <v>22</v>
      </c>
      <c r="C21" s="6"/>
      <c r="D21" s="6"/>
      <c r="E21" s="6"/>
      <c r="F21" s="6"/>
    </row>
    <row r="22" customFormat="false" ht="23.85" hidden="false" customHeight="true" outlineLevel="0" collapsed="false">
      <c r="B22" s="8" t="s">
        <v>23</v>
      </c>
      <c r="C22" s="8"/>
      <c r="D22" s="8"/>
      <c r="E22" s="8"/>
      <c r="F22" s="8"/>
    </row>
    <row r="23" customFormat="false" ht="23.85" hidden="false" customHeight="true" outlineLevel="0" collapsed="false">
      <c r="B23" s="8" t="s">
        <v>24</v>
      </c>
      <c r="C23" s="8"/>
      <c r="D23" s="8"/>
      <c r="E23" s="8"/>
      <c r="F23" s="8"/>
    </row>
    <row r="24" customFormat="false" ht="57.45" hidden="false" customHeight="true" outlineLevel="0" collapsed="false">
      <c r="B24" s="8" t="s">
        <v>25</v>
      </c>
      <c r="C24" s="8"/>
      <c r="D24" s="8"/>
      <c r="E24" s="8"/>
      <c r="F24" s="8"/>
    </row>
    <row r="25" customFormat="false" ht="23.85" hidden="false" customHeight="true" outlineLevel="0" collapsed="false">
      <c r="B25" s="8" t="s">
        <v>26</v>
      </c>
      <c r="C25" s="8"/>
      <c r="D25" s="8"/>
      <c r="E25" s="8"/>
      <c r="F25" s="8"/>
    </row>
    <row r="26" customFormat="false" ht="23.85" hidden="false" customHeight="true" outlineLevel="0" collapsed="false">
      <c r="B26" s="8" t="s">
        <v>27</v>
      </c>
      <c r="C26" s="8"/>
      <c r="D26" s="8"/>
      <c r="E26" s="8"/>
      <c r="F26" s="8"/>
    </row>
    <row r="27" customFormat="false" ht="35.05" hidden="false" customHeight="true" outlineLevel="0" collapsed="false">
      <c r="B27" s="8" t="s">
        <v>28</v>
      </c>
      <c r="C27" s="8"/>
      <c r="D27" s="8"/>
      <c r="E27" s="8"/>
      <c r="F27" s="8"/>
    </row>
    <row r="28" customFormat="false" ht="23.85" hidden="false" customHeight="true" outlineLevel="0" collapsed="false">
      <c r="B28" s="8" t="s">
        <v>29</v>
      </c>
      <c r="C28" s="8"/>
      <c r="D28" s="8"/>
      <c r="E28" s="8"/>
      <c r="F28" s="8"/>
    </row>
  </sheetData>
  <mergeCells count="16">
    <mergeCell ref="B3:F3"/>
    <mergeCell ref="B4:F4"/>
    <mergeCell ref="B6:F7"/>
    <mergeCell ref="B15:F15"/>
    <mergeCell ref="C16:F16"/>
    <mergeCell ref="C17:F17"/>
    <mergeCell ref="C18:F18"/>
    <mergeCell ref="C19:F19"/>
    <mergeCell ref="B21:F21"/>
    <mergeCell ref="B22:F22"/>
    <mergeCell ref="B23:F23"/>
    <mergeCell ref="B24:F24"/>
    <mergeCell ref="B25:F25"/>
    <mergeCell ref="B26:F26"/>
    <mergeCell ref="B27:F27"/>
    <mergeCell ref="B28:F2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5" min="2" style="0" width="15"/>
    <col collapsed="false" customWidth="true" hidden="false" outlineLevel="0" max="6" min="6" style="0" width="18"/>
  </cols>
  <sheetData>
    <row r="1" customFormat="false" ht="21.75" hidden="false" customHeight="true" outlineLevel="0" collapsed="false">
      <c r="A1" s="1" t="s">
        <v>30</v>
      </c>
      <c r="B1" s="1"/>
      <c r="C1" s="1"/>
      <c r="D1" s="1"/>
      <c r="E1" s="1"/>
      <c r="F1" s="1"/>
    </row>
    <row r="2" customFormat="false" ht="30" hidden="false" customHeight="true" outlineLevel="0" collapsed="false">
      <c r="A2" s="9" t="s">
        <v>31</v>
      </c>
      <c r="B2" s="9"/>
      <c r="C2" s="9"/>
      <c r="D2" s="9"/>
      <c r="E2" s="9"/>
      <c r="F2" s="9"/>
    </row>
    <row r="4" customFormat="false" ht="19.5" hidden="false" customHeight="true" outlineLevel="0" collapsed="false">
      <c r="A4" s="6" t="s">
        <v>32</v>
      </c>
      <c r="B4" s="6"/>
      <c r="C4" s="6"/>
      <c r="D4" s="6"/>
      <c r="E4" s="6"/>
      <c r="F4" s="6"/>
    </row>
    <row r="5" customFormat="false" ht="15" hidden="false" customHeight="false" outlineLevel="0" collapsed="false">
      <c r="A5" s="10" t="s">
        <v>33</v>
      </c>
      <c r="B5" s="10"/>
      <c r="C5" s="10"/>
      <c r="D5" s="10"/>
      <c r="E5" s="10"/>
      <c r="F5" s="11" t="n">
        <f aca="false">Underwriting!F14</f>
        <v>507</v>
      </c>
    </row>
    <row r="6" customFormat="false" ht="15" hidden="false" customHeight="false" outlineLevel="0" collapsed="false">
      <c r="A6" s="10" t="s">
        <v>34</v>
      </c>
      <c r="B6" s="10"/>
      <c r="C6" s="10"/>
      <c r="D6" s="10"/>
      <c r="E6" s="10"/>
      <c r="F6" s="12" t="n">
        <f aca="false">Underwriting!F13</f>
        <v>141.350781876271</v>
      </c>
    </row>
    <row r="7" customFormat="false" ht="15" hidden="false" customHeight="false" outlineLevel="0" collapsed="false">
      <c r="A7" s="13" t="s">
        <v>35</v>
      </c>
      <c r="B7" s="13"/>
      <c r="C7" s="13"/>
      <c r="D7" s="13"/>
      <c r="E7" s="13"/>
      <c r="F7" s="14" t="n">
        <f aca="false">Underwriting!F15</f>
        <v>859978.156935236</v>
      </c>
    </row>
    <row r="9" customFormat="false" ht="19.5" hidden="false" customHeight="true" outlineLevel="0" collapsed="false">
      <c r="A9" s="6" t="s">
        <v>36</v>
      </c>
      <c r="B9" s="6"/>
      <c r="C9" s="6"/>
      <c r="D9" s="6"/>
      <c r="E9" s="6"/>
      <c r="F9" s="6"/>
    </row>
    <row r="10" customFormat="false" ht="31.5" hidden="false" customHeight="true" outlineLevel="0" collapsed="false">
      <c r="A10" s="15" t="s">
        <v>37</v>
      </c>
      <c r="B10" s="15" t="s">
        <v>38</v>
      </c>
      <c r="C10" s="16" t="s">
        <v>39</v>
      </c>
      <c r="D10" s="17" t="s">
        <v>16</v>
      </c>
      <c r="E10" s="18" t="s">
        <v>18</v>
      </c>
      <c r="F10" s="19" t="s">
        <v>20</v>
      </c>
    </row>
    <row r="11" customFormat="false" ht="27.75" hidden="false" customHeight="true" outlineLevel="0" collapsed="false">
      <c r="A11" s="20" t="s">
        <v>40</v>
      </c>
      <c r="B11" s="21"/>
      <c r="C11" s="21" t="str">
        <f aca="false">'Vendor Cost Comparison'!C39</f>
        <v>Current Network</v>
      </c>
      <c r="D11" s="21" t="str">
        <f aca="false">'Vendor Cost Comparison'!D39</f>
        <v>Broad Retail Network</v>
      </c>
      <c r="E11" s="21" t="str">
        <f aca="false">'Vendor Cost Comparison'!E39</f>
        <v>Preferred / Narrow Retail Network</v>
      </c>
      <c r="F11" s="21" t="str">
        <f aca="false">'Vendor Cost Comparison'!F39</f>
        <v>Standard Retail Network</v>
      </c>
    </row>
    <row r="12" customFormat="false" ht="15" hidden="false" customHeight="false" outlineLevel="0" collapsed="false">
      <c r="A12" s="22" t="s">
        <v>41</v>
      </c>
      <c r="B12" s="23" t="n">
        <f aca="false">'Vendor Cost Comparison'!B40</f>
        <v>1</v>
      </c>
      <c r="C12" s="23" t="n">
        <f aca="false">'Vendor Cost Comparison'!C40</f>
        <v>1.01292623007602</v>
      </c>
      <c r="D12" s="23" t="n">
        <f aca="false">'Vendor Cost Comparison'!D40</f>
        <v>0.987166722006699</v>
      </c>
      <c r="E12" s="23" t="n">
        <f aca="false">'Vendor Cost Comparison'!E40</f>
        <v>0.96826423575067</v>
      </c>
      <c r="F12" s="23" t="n">
        <f aca="false">'Vendor Cost Comparison'!F40</f>
        <v>0.94737045085439</v>
      </c>
    </row>
    <row r="13" customFormat="false" ht="15" hidden="false" customHeight="false" outlineLevel="0" collapsed="false">
      <c r="A13" s="22" t="s">
        <v>42</v>
      </c>
      <c r="B13" s="24" t="n">
        <f aca="false">'Vendor Cost Comparison'!B41</f>
        <v>0</v>
      </c>
      <c r="C13" s="24" t="n">
        <f aca="false">'Vendor Cost Comparison'!C41</f>
        <v>-0.0129262300760216</v>
      </c>
      <c r="D13" s="24" t="n">
        <f aca="false">'Vendor Cost Comparison'!D41</f>
        <v>0.012833277993301</v>
      </c>
      <c r="E13" s="24" t="n">
        <f aca="false">'Vendor Cost Comparison'!E41</f>
        <v>0.03173576424933</v>
      </c>
      <c r="F13" s="24" t="n">
        <f aca="false">'Vendor Cost Comparison'!F41</f>
        <v>0.0526295491456096</v>
      </c>
    </row>
    <row r="14" customFormat="false" ht="15" hidden="false" customHeight="false" outlineLevel="0" collapsed="false">
      <c r="A14" s="22" t="s">
        <v>43</v>
      </c>
      <c r="B14" s="25" t="n">
        <f aca="false">'Vendor Cost Comparison'!B67</f>
        <v>800983.655369479</v>
      </c>
      <c r="C14" s="25" t="n">
        <f aca="false">'Vendor Cost Comparison'!C67</f>
        <v>814682.357006533</v>
      </c>
      <c r="D14" s="25" t="n">
        <f aca="false">'Vendor Cost Comparison'!D67</f>
        <v>787444.472870224</v>
      </c>
      <c r="E14" s="25" t="n">
        <f aca="false">'Vendor Cost Comparison'!E67</f>
        <v>789219.878838456</v>
      </c>
      <c r="F14" s="25" t="n">
        <f aca="false">'Vendor Cost Comparison'!F67</f>
        <v>748595.389962467</v>
      </c>
    </row>
    <row r="15" customFormat="false" ht="15" hidden="false" customHeight="false" outlineLevel="0" collapsed="false">
      <c r="A15" s="20" t="s">
        <v>44</v>
      </c>
      <c r="B15" s="26" t="n">
        <f aca="false">'Vendor Cost Comparison'!B75</f>
        <v>0</v>
      </c>
      <c r="C15" s="26" t="n">
        <f aca="false">'Vendor Cost Comparison'!C75</f>
        <v>-13698.7016370548</v>
      </c>
      <c r="D15" s="26" t="n">
        <f aca="false">'Vendor Cost Comparison'!D75</f>
        <v>13539.1824992548</v>
      </c>
      <c r="E15" s="26" t="n">
        <f aca="false">'Vendor Cost Comparison'!E75</f>
        <v>11763.776531023</v>
      </c>
      <c r="F15" s="26" t="n">
        <f aca="false">'Vendor Cost Comparison'!F75</f>
        <v>52388.2654070118</v>
      </c>
    </row>
    <row r="17" customFormat="false" ht="15" hidden="false" customHeight="false" outlineLevel="0" collapsed="false">
      <c r="A17" s="20" t="s">
        <v>45</v>
      </c>
      <c r="B17" s="27" t="str">
        <f aca="false">'Vendor Cost Comparison'!B78</f>
        <v>Vendor C</v>
      </c>
      <c r="C17" s="27"/>
      <c r="D17" s="27"/>
      <c r="E17" s="27"/>
      <c r="F17" s="27"/>
    </row>
    <row r="19" customFormat="false" ht="19.5" hidden="false" customHeight="true" outlineLevel="0" collapsed="false">
      <c r="A19" s="6" t="s">
        <v>46</v>
      </c>
      <c r="B19" s="6"/>
      <c r="C19" s="6"/>
      <c r="D19" s="6"/>
      <c r="E19" s="6"/>
      <c r="F19" s="6"/>
    </row>
    <row r="20" customFormat="false" ht="27.75" hidden="false" customHeight="true" outlineLevel="0" collapsed="false">
      <c r="A20" s="20" t="s">
        <v>40</v>
      </c>
      <c r="B20" s="21"/>
      <c r="C20" s="21" t="str">
        <f aca="false">'Disruption Analysis'!C7</f>
        <v>Current Network</v>
      </c>
      <c r="D20" s="21" t="str">
        <f aca="false">'Disruption Analysis'!D7</f>
        <v>Broad Retail Network</v>
      </c>
      <c r="E20" s="21" t="str">
        <f aca="false">'Disruption Analysis'!E7</f>
        <v>Preferred / Narrow Retail Network</v>
      </c>
      <c r="F20" s="21" t="str">
        <f aca="false">'Disruption Analysis'!F7</f>
        <v>Standard Retail Network</v>
      </c>
    </row>
    <row r="21" customFormat="false" ht="15" hidden="false" customHeight="false" outlineLevel="0" collapsed="false">
      <c r="A21" s="22" t="s">
        <v>47</v>
      </c>
      <c r="B21" s="28"/>
      <c r="C21" s="28" t="n">
        <f aca="false">'Disruption Analysis'!C8</f>
        <v>0</v>
      </c>
      <c r="D21" s="28" t="n">
        <f aca="false">'Disruption Analysis'!D8</f>
        <v>0</v>
      </c>
      <c r="E21" s="28" t="n">
        <f aca="false">'Disruption Analysis'!E8</f>
        <v>1</v>
      </c>
      <c r="F21" s="28" t="n">
        <f aca="false">'Disruption Analysis'!F8</f>
        <v>1</v>
      </c>
    </row>
    <row r="22" customFormat="false" ht="15" hidden="false" customHeight="false" outlineLevel="0" collapsed="false">
      <c r="A22" s="22" t="s">
        <v>48</v>
      </c>
      <c r="B22" s="28"/>
      <c r="C22" s="28" t="n">
        <f aca="false">'Disruption Analysis'!C9</f>
        <v>0</v>
      </c>
      <c r="D22" s="28" t="n">
        <f aca="false">'Disruption Analysis'!D9</f>
        <v>0</v>
      </c>
      <c r="E22" s="28" t="n">
        <f aca="false">'Disruption Analysis'!E9</f>
        <v>3</v>
      </c>
      <c r="F22" s="28" t="n">
        <f aca="false">'Disruption Analysis'!F9</f>
        <v>3</v>
      </c>
    </row>
    <row r="23" customFormat="false" ht="15" hidden="false" customHeight="false" outlineLevel="0" collapsed="false">
      <c r="A23" s="22" t="s">
        <v>49</v>
      </c>
      <c r="B23" s="29"/>
      <c r="C23" s="29" t="n">
        <f aca="false">'Disruption Analysis'!C10</f>
        <v>0</v>
      </c>
      <c r="D23" s="29" t="n">
        <f aca="false">'Disruption Analysis'!D10</f>
        <v>0</v>
      </c>
      <c r="E23" s="29" t="n">
        <f aca="false">'Disruption Analysis'!E10</f>
        <v>38.51862</v>
      </c>
      <c r="F23" s="29" t="n">
        <f aca="false">'Disruption Analysis'!F10</f>
        <v>368.53599</v>
      </c>
    </row>
    <row r="24" customFormat="false" ht="15" hidden="false" customHeight="false" outlineLevel="0" collapsed="false">
      <c r="A24" s="22" t="s">
        <v>50</v>
      </c>
      <c r="B24" s="24"/>
      <c r="C24" s="24" t="n">
        <f aca="false">'Disruption Analysis'!C11</f>
        <v>0</v>
      </c>
      <c r="D24" s="24" t="n">
        <f aca="false">'Disruption Analysis'!D11</f>
        <v>0</v>
      </c>
      <c r="E24" s="24" t="n">
        <f aca="false">'Disruption Analysis'!E11</f>
        <v>0.0105390938833874</v>
      </c>
      <c r="F24" s="24" t="n">
        <f aca="false">'Disruption Analysis'!F11</f>
        <v>0.100835268709448</v>
      </c>
    </row>
    <row r="26" customFormat="false" ht="15" hidden="false" customHeight="false" outlineLevel="0" collapsed="false">
      <c r="A26" s="20" t="s">
        <v>51</v>
      </c>
      <c r="B26" s="27" t="str">
        <f aca="false">'Disruption Analysis'!B13</f>
        <v>Incumbent Renewal</v>
      </c>
      <c r="C26" s="27"/>
      <c r="D26" s="27"/>
      <c r="E26" s="27"/>
      <c r="F26" s="27"/>
    </row>
  </sheetData>
  <mergeCells count="10">
    <mergeCell ref="A1:F1"/>
    <mergeCell ref="A2:F2"/>
    <mergeCell ref="A4:F4"/>
    <mergeCell ref="A5:E5"/>
    <mergeCell ref="A6:E6"/>
    <mergeCell ref="A7:E7"/>
    <mergeCell ref="A9:F9"/>
    <mergeCell ref="B17:F17"/>
    <mergeCell ref="A19:F19"/>
    <mergeCell ref="B26:F26"/>
  </mergeCells>
  <conditionalFormatting sqref="C13:F13">
    <cfRule type="expression" priority="2" aboveAverage="0" equalAverage="0" bottom="0" percent="0" rank="0" text="" dxfId="0">
      <formula>C13=MAX($C13:$F13)</formula>
    </cfRule>
  </conditionalFormatting>
  <conditionalFormatting sqref="C14:F14">
    <cfRule type="expression" priority="3" aboveAverage="0" equalAverage="0" bottom="0" percent="0" rank="0" text="" dxfId="0">
      <formula>C14=MIN($C14:$F14)</formula>
    </cfRule>
  </conditionalFormatting>
  <conditionalFormatting sqref="C24:F24">
    <cfRule type="expression" priority="4" aboveAverage="0" equalAverage="0" bottom="0" percent="0" rank="0" text="" dxfId="0">
      <formula>C24=MIN($C24:$F24)</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5" min="2" style="0" width="15"/>
    <col collapsed="false" customWidth="true" hidden="false" outlineLevel="0" max="6" min="6" style="0" width="18"/>
  </cols>
  <sheetData>
    <row r="1" customFormat="false" ht="21.75" hidden="false" customHeight="true" outlineLevel="0" collapsed="false">
      <c r="A1" s="1" t="s">
        <v>52</v>
      </c>
      <c r="B1" s="1"/>
      <c r="C1" s="1"/>
      <c r="D1" s="1"/>
      <c r="E1" s="1"/>
      <c r="F1" s="1"/>
    </row>
    <row r="2" customFormat="false" ht="30" hidden="false" customHeight="true" outlineLevel="0" collapsed="false">
      <c r="A2" s="9" t="s">
        <v>53</v>
      </c>
      <c r="B2" s="9"/>
      <c r="C2" s="9"/>
      <c r="D2" s="9"/>
      <c r="E2" s="9"/>
      <c r="F2" s="9"/>
    </row>
    <row r="4" customFormat="false" ht="19.5" hidden="false" customHeight="true" outlineLevel="0" collapsed="false">
      <c r="A4" s="6" t="s">
        <v>54</v>
      </c>
      <c r="B4" s="6"/>
      <c r="C4" s="6"/>
      <c r="D4" s="6"/>
      <c r="E4" s="6"/>
      <c r="F4" s="6"/>
    </row>
    <row r="5" customFormat="false" ht="15" hidden="false" customHeight="false" outlineLevel="0" collapsed="false">
      <c r="A5" s="10" t="s">
        <v>55</v>
      </c>
      <c r="B5" s="10"/>
      <c r="C5" s="10"/>
      <c r="D5" s="10"/>
      <c r="E5" s="10"/>
      <c r="F5" s="11" t="n">
        <f aca="false">SUM('Claims Experience'!B18:B29)</f>
        <v>6144</v>
      </c>
    </row>
    <row r="6" customFormat="false" ht="15" hidden="false" customHeight="false" outlineLevel="0" collapsed="false">
      <c r="A6" s="10" t="s">
        <v>56</v>
      </c>
      <c r="B6" s="10"/>
      <c r="C6" s="10"/>
      <c r="D6" s="10"/>
      <c r="E6" s="10"/>
      <c r="F6" s="30" t="n">
        <f aca="false">SUM('Claims Experience'!E18:E29)</f>
        <v>735264.47</v>
      </c>
    </row>
    <row r="7" customFormat="false" ht="15" hidden="false" customHeight="false" outlineLevel="0" collapsed="false">
      <c r="A7" s="10" t="s">
        <v>57</v>
      </c>
      <c r="B7" s="10"/>
      <c r="C7" s="10"/>
      <c r="D7" s="10"/>
      <c r="E7" s="10"/>
      <c r="F7" s="12" t="n">
        <f aca="false">IFERROR(F6/F5,0)</f>
        <v>119.671951497396</v>
      </c>
    </row>
    <row r="8" customFormat="false" ht="15" hidden="false" customHeight="false" outlineLevel="0" collapsed="false">
      <c r="A8" s="10" t="s">
        <v>58</v>
      </c>
      <c r="B8" s="10"/>
      <c r="C8" s="10"/>
      <c r="D8" s="10"/>
      <c r="E8" s="10"/>
      <c r="F8" s="31" t="n">
        <v>1.01</v>
      </c>
    </row>
    <row r="9" customFormat="false" ht="15" hidden="false" customHeight="false" outlineLevel="0" collapsed="false">
      <c r="A9" s="10" t="s">
        <v>59</v>
      </c>
      <c r="B9" s="10"/>
      <c r="C9" s="10"/>
      <c r="D9" s="10"/>
      <c r="E9" s="10"/>
      <c r="F9" s="12" t="n">
        <f aca="false">F7*F8</f>
        <v>120.86867101237</v>
      </c>
    </row>
    <row r="10" customFormat="false" ht="15" hidden="false" customHeight="false" outlineLevel="0" collapsed="false">
      <c r="A10" s="10" t="s">
        <v>60</v>
      </c>
      <c r="B10" s="10"/>
      <c r="C10" s="10"/>
      <c r="D10" s="10"/>
      <c r="E10" s="10"/>
      <c r="F10" s="32" t="n">
        <v>0.11</v>
      </c>
    </row>
    <row r="11" customFormat="false" ht="15" hidden="false" customHeight="false" outlineLevel="0" collapsed="false">
      <c r="A11" s="10" t="s">
        <v>61</v>
      </c>
      <c r="B11" s="10"/>
      <c r="C11" s="10"/>
      <c r="D11" s="10"/>
      <c r="E11" s="10"/>
      <c r="F11" s="33" t="n">
        <v>18</v>
      </c>
    </row>
    <row r="12" customFormat="false" ht="15" hidden="false" customHeight="false" outlineLevel="0" collapsed="false">
      <c r="A12" s="10" t="s">
        <v>62</v>
      </c>
      <c r="B12" s="10"/>
      <c r="C12" s="10"/>
      <c r="D12" s="10"/>
      <c r="E12" s="10"/>
      <c r="F12" s="34" t="n">
        <f aca="false">(1+F10)^(F11/12)</f>
        <v>1.16945756656665</v>
      </c>
    </row>
    <row r="13" customFormat="false" ht="15" hidden="false" customHeight="false" outlineLevel="0" collapsed="false">
      <c r="A13" s="10" t="s">
        <v>34</v>
      </c>
      <c r="B13" s="10"/>
      <c r="C13" s="10"/>
      <c r="D13" s="10"/>
      <c r="E13" s="10"/>
      <c r="F13" s="12" t="n">
        <f aca="false">F9*F12</f>
        <v>141.350781876271</v>
      </c>
    </row>
    <row r="14" customFormat="false" ht="15" hidden="false" customHeight="false" outlineLevel="0" collapsed="false">
      <c r="A14" s="10" t="s">
        <v>63</v>
      </c>
      <c r="B14" s="10"/>
      <c r="C14" s="10"/>
      <c r="D14" s="10"/>
      <c r="E14" s="10"/>
      <c r="F14" s="11" t="n">
        <f aca="false">'Claims Experience'!B29</f>
        <v>507</v>
      </c>
    </row>
    <row r="15" customFormat="false" ht="15" hidden="false" customHeight="false" outlineLevel="0" collapsed="false">
      <c r="A15" s="13" t="s">
        <v>35</v>
      </c>
      <c r="B15" s="13"/>
      <c r="C15" s="13"/>
      <c r="D15" s="13"/>
      <c r="E15" s="13"/>
      <c r="F15" s="14" t="n">
        <f aca="false">F13*12*F14</f>
        <v>859978.156935236</v>
      </c>
    </row>
  </sheetData>
  <mergeCells count="14">
    <mergeCell ref="A1:F1"/>
    <mergeCell ref="A2:F2"/>
    <mergeCell ref="A4:F4"/>
    <mergeCell ref="A5:E5"/>
    <mergeCell ref="A6:E6"/>
    <mergeCell ref="A7:E7"/>
    <mergeCell ref="A8:E8"/>
    <mergeCell ref="A9:E9"/>
    <mergeCell ref="A10:E10"/>
    <mergeCell ref="A11:E11"/>
    <mergeCell ref="A12:E12"/>
    <mergeCell ref="A13:E13"/>
    <mergeCell ref="A14:E14"/>
    <mergeCell ref="A15:E1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7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5" min="2" style="0" width="15"/>
    <col collapsed="false" customWidth="true" hidden="false" outlineLevel="0" max="6" min="6" style="0" width="18"/>
  </cols>
  <sheetData>
    <row r="1" customFormat="false" ht="21.75" hidden="false" customHeight="true" outlineLevel="0" collapsed="false">
      <c r="A1" s="1" t="s">
        <v>64</v>
      </c>
      <c r="B1" s="1"/>
      <c r="C1" s="1"/>
      <c r="D1" s="1"/>
      <c r="E1" s="1"/>
      <c r="F1" s="1"/>
    </row>
    <row r="2" customFormat="false" ht="39.75" hidden="false" customHeight="true" outlineLevel="0" collapsed="false">
      <c r="A2" s="9" t="s">
        <v>65</v>
      </c>
      <c r="B2" s="9"/>
      <c r="C2" s="9"/>
      <c r="D2" s="9"/>
      <c r="E2" s="9"/>
      <c r="F2" s="9"/>
    </row>
    <row r="4" customFormat="false" ht="19.5" hidden="false" customHeight="true" outlineLevel="0" collapsed="false">
      <c r="A4" s="6" t="s">
        <v>66</v>
      </c>
      <c r="B4" s="6"/>
      <c r="C4" s="6"/>
      <c r="D4" s="6"/>
      <c r="E4" s="6"/>
      <c r="F4" s="6"/>
    </row>
    <row r="5" customFormat="false" ht="19.5" hidden="false" customHeight="true" outlineLevel="0" collapsed="false">
      <c r="A5" s="6"/>
      <c r="B5" s="6"/>
      <c r="C5" s="6"/>
      <c r="D5" s="6"/>
      <c r="E5" s="6"/>
      <c r="F5" s="6"/>
    </row>
    <row r="6" customFormat="false" ht="25.5" hidden="false" customHeight="true" outlineLevel="0" collapsed="false">
      <c r="A6" s="15" t="s">
        <v>67</v>
      </c>
      <c r="B6" s="16" t="s">
        <v>68</v>
      </c>
      <c r="C6" s="16" t="s">
        <v>69</v>
      </c>
      <c r="D6" s="17" t="s">
        <v>16</v>
      </c>
      <c r="E6" s="18" t="s">
        <v>18</v>
      </c>
      <c r="F6" s="19" t="s">
        <v>20</v>
      </c>
    </row>
    <row r="7" customFormat="false" ht="15" hidden="false" customHeight="false" outlineLevel="0" collapsed="false">
      <c r="A7" s="35" t="s">
        <v>70</v>
      </c>
      <c r="B7" s="36" t="n">
        <v>0.17</v>
      </c>
      <c r="C7" s="36" t="n">
        <v>0.16</v>
      </c>
      <c r="D7" s="36" t="n">
        <v>0.18</v>
      </c>
      <c r="E7" s="36" t="n">
        <v>0.2</v>
      </c>
      <c r="F7" s="36" t="n">
        <v>0.19</v>
      </c>
    </row>
    <row r="8" customFormat="false" ht="15" hidden="false" customHeight="false" outlineLevel="0" collapsed="false">
      <c r="A8" s="35" t="s">
        <v>71</v>
      </c>
      <c r="B8" s="36" t="n">
        <v>0.78</v>
      </c>
      <c r="C8" s="36" t="n">
        <v>0.76</v>
      </c>
      <c r="D8" s="36" t="n">
        <v>0.8</v>
      </c>
      <c r="E8" s="36" t="n">
        <v>0.84</v>
      </c>
      <c r="F8" s="36" t="n">
        <v>0.82</v>
      </c>
    </row>
    <row r="9" customFormat="false" ht="15" hidden="false" customHeight="false" outlineLevel="0" collapsed="false">
      <c r="A9" s="35" t="s">
        <v>72</v>
      </c>
      <c r="B9" s="36" t="n">
        <v>0.2</v>
      </c>
      <c r="C9" s="36" t="n">
        <v>0.19</v>
      </c>
      <c r="D9" s="36" t="n">
        <v>0.21</v>
      </c>
      <c r="E9" s="36" t="n">
        <v>0.24</v>
      </c>
      <c r="F9" s="36" t="n">
        <v>0.22</v>
      </c>
    </row>
    <row r="10" customFormat="false" ht="15" hidden="false" customHeight="false" outlineLevel="0" collapsed="false">
      <c r="A10" s="35" t="s">
        <v>73</v>
      </c>
      <c r="B10" s="36" t="n">
        <v>0.82</v>
      </c>
      <c r="C10" s="36" t="n">
        <v>0.8</v>
      </c>
      <c r="D10" s="36" t="n">
        <v>0.83</v>
      </c>
      <c r="E10" s="36" t="n">
        <v>0.87</v>
      </c>
      <c r="F10" s="36" t="n">
        <v>0.85</v>
      </c>
    </row>
    <row r="11" customFormat="false" ht="15" hidden="false" customHeight="false" outlineLevel="0" collapsed="false">
      <c r="A11" s="35" t="s">
        <v>74</v>
      </c>
      <c r="B11" s="36" t="n">
        <v>0.15</v>
      </c>
      <c r="C11" s="36" t="n">
        <v>0.14</v>
      </c>
      <c r="D11" s="36" t="n">
        <v>0.16</v>
      </c>
      <c r="E11" s="36" t="n">
        <v>0.17</v>
      </c>
      <c r="F11" s="36" t="n">
        <v>0.2</v>
      </c>
    </row>
    <row r="13" customFormat="false" ht="19.5" hidden="false" customHeight="true" outlineLevel="0" collapsed="false">
      <c r="A13" s="6"/>
      <c r="B13" s="6"/>
      <c r="C13" s="6"/>
      <c r="D13" s="6"/>
      <c r="E13" s="6"/>
      <c r="F13" s="6"/>
    </row>
    <row r="14" customFormat="false" ht="25.5" hidden="false" customHeight="true" outlineLevel="0" collapsed="false">
      <c r="A14" s="15" t="s">
        <v>75</v>
      </c>
      <c r="B14" s="16" t="s">
        <v>68</v>
      </c>
      <c r="C14" s="16" t="s">
        <v>69</v>
      </c>
      <c r="D14" s="17" t="s">
        <v>16</v>
      </c>
      <c r="E14" s="18" t="s">
        <v>18</v>
      </c>
      <c r="F14" s="19" t="s">
        <v>20</v>
      </c>
    </row>
    <row r="15" customFormat="false" ht="15" hidden="false" customHeight="false" outlineLevel="0" collapsed="false">
      <c r="A15" s="35" t="s">
        <v>76</v>
      </c>
      <c r="B15" s="37" t="n">
        <v>1.75</v>
      </c>
      <c r="C15" s="37" t="n">
        <v>1.85</v>
      </c>
      <c r="D15" s="37" t="n">
        <v>1.5</v>
      </c>
      <c r="E15" s="37" t="n">
        <v>0.9</v>
      </c>
      <c r="F15" s="37" t="n">
        <v>1.25</v>
      </c>
    </row>
    <row r="16" customFormat="false" ht="15" hidden="false" customHeight="false" outlineLevel="0" collapsed="false">
      <c r="A16" s="35" t="s">
        <v>77</v>
      </c>
      <c r="B16" s="37" t="n">
        <v>0.25</v>
      </c>
      <c r="C16" s="37" t="n">
        <v>0.3</v>
      </c>
      <c r="D16" s="37" t="n">
        <v>0</v>
      </c>
      <c r="E16" s="37" t="n">
        <v>0</v>
      </c>
      <c r="F16" s="37" t="n">
        <v>0.1</v>
      </c>
    </row>
    <row r="17" customFormat="false" ht="15" hidden="false" customHeight="false" outlineLevel="0" collapsed="false">
      <c r="A17" s="35" t="s">
        <v>78</v>
      </c>
      <c r="B17" s="37" t="n">
        <v>0</v>
      </c>
      <c r="C17" s="37" t="n">
        <v>0</v>
      </c>
      <c r="D17" s="37" t="n">
        <v>0</v>
      </c>
      <c r="E17" s="37" t="n">
        <v>0</v>
      </c>
      <c r="F17" s="37" t="n">
        <v>0</v>
      </c>
    </row>
    <row r="19" customFormat="false" ht="19.5" hidden="false" customHeight="true" outlineLevel="0" collapsed="false">
      <c r="A19" s="6"/>
      <c r="B19" s="6"/>
      <c r="C19" s="6"/>
      <c r="D19" s="6"/>
      <c r="E19" s="6"/>
      <c r="F19" s="6"/>
    </row>
    <row r="20" customFormat="false" ht="25.5" hidden="false" customHeight="true" outlineLevel="0" collapsed="false">
      <c r="A20" s="15" t="s">
        <v>79</v>
      </c>
      <c r="B20" s="16" t="s">
        <v>68</v>
      </c>
      <c r="C20" s="16" t="s">
        <v>69</v>
      </c>
      <c r="D20" s="17" t="s">
        <v>16</v>
      </c>
      <c r="E20" s="18" t="s">
        <v>18</v>
      </c>
      <c r="F20" s="19" t="s">
        <v>20</v>
      </c>
    </row>
    <row r="21" customFormat="false" ht="15" hidden="false" customHeight="false" outlineLevel="0" collapsed="false">
      <c r="A21" s="35" t="s">
        <v>70</v>
      </c>
      <c r="B21" s="36" t="n">
        <v>0.18</v>
      </c>
      <c r="C21" s="36" t="n">
        <v>0.17</v>
      </c>
      <c r="D21" s="36" t="n">
        <v>0.19</v>
      </c>
      <c r="E21" s="36" t="n">
        <v>0.14</v>
      </c>
      <c r="F21" s="36" t="n">
        <v>0.21</v>
      </c>
    </row>
    <row r="22" customFormat="false" ht="15" hidden="false" customHeight="false" outlineLevel="0" collapsed="false">
      <c r="A22" s="35" t="s">
        <v>71</v>
      </c>
      <c r="B22" s="36" t="n">
        <v>0</v>
      </c>
      <c r="C22" s="36" t="n">
        <v>0</v>
      </c>
      <c r="D22" s="36" t="n">
        <v>0</v>
      </c>
      <c r="E22" s="36" t="n">
        <v>0</v>
      </c>
      <c r="F22" s="36" t="n">
        <v>0</v>
      </c>
    </row>
    <row r="23" customFormat="false" ht="15" hidden="false" customHeight="false" outlineLevel="0" collapsed="false">
      <c r="A23" s="35" t="s">
        <v>72</v>
      </c>
      <c r="B23" s="36" t="n">
        <v>0.2</v>
      </c>
      <c r="C23" s="36" t="n">
        <v>0.19</v>
      </c>
      <c r="D23" s="36" t="n">
        <v>0.21</v>
      </c>
      <c r="E23" s="36" t="n">
        <v>0.16</v>
      </c>
      <c r="F23" s="36" t="n">
        <v>0.23</v>
      </c>
    </row>
    <row r="24" customFormat="false" ht="15" hidden="false" customHeight="false" outlineLevel="0" collapsed="false">
      <c r="A24" s="35" t="s">
        <v>73</v>
      </c>
      <c r="B24" s="36" t="n">
        <v>0</v>
      </c>
      <c r="C24" s="36" t="n">
        <v>0</v>
      </c>
      <c r="D24" s="36" t="n">
        <v>0</v>
      </c>
      <c r="E24" s="36" t="n">
        <v>0</v>
      </c>
      <c r="F24" s="36" t="n">
        <v>0</v>
      </c>
    </row>
    <row r="25" customFormat="false" ht="15" hidden="false" customHeight="false" outlineLevel="0" collapsed="false">
      <c r="A25" s="35" t="s">
        <v>74</v>
      </c>
      <c r="B25" s="36" t="n">
        <v>0.03</v>
      </c>
      <c r="C25" s="36" t="n">
        <v>0.028</v>
      </c>
      <c r="D25" s="36" t="n">
        <v>0.032</v>
      </c>
      <c r="E25" s="36" t="n">
        <v>0.02</v>
      </c>
      <c r="F25" s="36" t="n">
        <v>0.038</v>
      </c>
    </row>
    <row r="27" customFormat="false" ht="19.5" hidden="false" customHeight="true" outlineLevel="0" collapsed="false">
      <c r="A27" s="6" t="s">
        <v>80</v>
      </c>
      <c r="B27" s="6"/>
      <c r="C27" s="6"/>
      <c r="D27" s="6"/>
      <c r="E27" s="6"/>
      <c r="F27" s="6"/>
    </row>
    <row r="28" customFormat="false" ht="15" hidden="false" customHeight="false" outlineLevel="0" collapsed="false">
      <c r="A28" s="10" t="s">
        <v>81</v>
      </c>
      <c r="B28" s="10"/>
      <c r="C28" s="10"/>
      <c r="D28" s="10"/>
      <c r="E28" s="10"/>
      <c r="F28" s="32" t="n">
        <v>0.15</v>
      </c>
    </row>
    <row r="29" customFormat="false" ht="15" hidden="false" customHeight="false" outlineLevel="0" collapsed="false">
      <c r="A29" s="10" t="s">
        <v>82</v>
      </c>
      <c r="B29" s="10"/>
      <c r="C29" s="10"/>
      <c r="D29" s="10"/>
      <c r="E29" s="10"/>
      <c r="F29" s="32" t="n">
        <v>0.12</v>
      </c>
    </row>
    <row r="30" customFormat="false" ht="15" hidden="false" customHeight="false" outlineLevel="0" collapsed="false">
      <c r="A30" s="10" t="s">
        <v>83</v>
      </c>
      <c r="B30" s="10"/>
      <c r="C30" s="10"/>
      <c r="D30" s="10"/>
      <c r="E30" s="10"/>
      <c r="F30" s="32" t="n">
        <v>0.13</v>
      </c>
    </row>
    <row r="31" customFormat="false" ht="15" hidden="false" customHeight="false" outlineLevel="0" collapsed="false">
      <c r="A31" s="10" t="s">
        <v>84</v>
      </c>
      <c r="B31" s="10"/>
      <c r="C31" s="10"/>
      <c r="D31" s="10"/>
      <c r="E31" s="10"/>
      <c r="F31" s="32" t="n">
        <v>0.08</v>
      </c>
    </row>
    <row r="32" customFormat="false" ht="15" hidden="false" customHeight="false" outlineLevel="0" collapsed="false">
      <c r="A32" s="10" t="s">
        <v>85</v>
      </c>
      <c r="B32" s="10"/>
      <c r="C32" s="10"/>
      <c r="D32" s="10"/>
      <c r="E32" s="10"/>
      <c r="F32" s="32" t="n">
        <v>0.52</v>
      </c>
    </row>
    <row r="33" customFormat="false" ht="15" hidden="false" customHeight="false" outlineLevel="0" collapsed="false">
      <c r="A33" s="10" t="s">
        <v>86</v>
      </c>
      <c r="B33" s="10"/>
      <c r="C33" s="10"/>
      <c r="D33" s="10"/>
      <c r="E33" s="10"/>
      <c r="F33" s="38" t="n">
        <f aca="false">SUM(F28:F32)</f>
        <v>1</v>
      </c>
    </row>
    <row r="35" customFormat="false" ht="19.5" hidden="false" customHeight="true" outlineLevel="0" collapsed="false">
      <c r="A35" s="6" t="s">
        <v>87</v>
      </c>
      <c r="B35" s="6"/>
      <c r="C35" s="6"/>
      <c r="D35" s="6"/>
      <c r="E35" s="6"/>
      <c r="F35" s="6"/>
    </row>
    <row r="36" customFormat="false" ht="39.75" hidden="false" customHeight="true" outlineLevel="0" collapsed="false">
      <c r="A36" s="9" t="s">
        <v>88</v>
      </c>
      <c r="B36" s="9"/>
      <c r="C36" s="9"/>
      <c r="D36" s="9"/>
      <c r="E36" s="9"/>
      <c r="F36" s="9"/>
    </row>
    <row r="38" customFormat="false" ht="31.5" hidden="false" customHeight="true" outlineLevel="0" collapsed="false">
      <c r="A38" s="15" t="s">
        <v>89</v>
      </c>
      <c r="B38" s="15" t="s">
        <v>38</v>
      </c>
      <c r="C38" s="16" t="s">
        <v>39</v>
      </c>
      <c r="D38" s="17" t="s">
        <v>16</v>
      </c>
      <c r="E38" s="18" t="s">
        <v>18</v>
      </c>
      <c r="F38" s="19" t="s">
        <v>20</v>
      </c>
    </row>
    <row r="39" customFormat="false" ht="27.75" hidden="false" customHeight="true" outlineLevel="0" collapsed="false">
      <c r="A39" s="20" t="s">
        <v>40</v>
      </c>
      <c r="B39" s="21"/>
      <c r="C39" s="21" t="s">
        <v>90</v>
      </c>
      <c r="D39" s="21" t="s">
        <v>91</v>
      </c>
      <c r="E39" s="21" t="s">
        <v>92</v>
      </c>
      <c r="F39" s="21" t="s">
        <v>93</v>
      </c>
    </row>
    <row r="40" customFormat="false" ht="15" hidden="false" customHeight="false" outlineLevel="0" collapsed="false">
      <c r="A40" s="22" t="s">
        <v>41</v>
      </c>
      <c r="B40" s="23" t="n">
        <v>1</v>
      </c>
      <c r="C40" s="23" t="n">
        <f aca="false">IFERROR(SUM('Claims Detail'!$O:$O)/SUM('Claims Detail'!$N:$N),1)</f>
        <v>1.01292623007602</v>
      </c>
      <c r="D40" s="23" t="n">
        <f aca="false">IFERROR(SUM('Claims Detail'!$R:$R)/SUM('Claims Detail'!$N:$N),1)</f>
        <v>0.987166722006699</v>
      </c>
      <c r="E40" s="23" t="n">
        <f aca="false">IFERROR(SUM('Claims Detail'!$U:$U)/SUM('Claims Detail'!$N:$N),1)</f>
        <v>0.96826423575067</v>
      </c>
      <c r="F40" s="23" t="n">
        <f aca="false">IFERROR(SUM('Claims Detail'!$X:$X)/SUM('Claims Detail'!$N:$N),1)</f>
        <v>0.94737045085439</v>
      </c>
    </row>
    <row r="41" customFormat="false" ht="15" hidden="false" customHeight="false" outlineLevel="0" collapsed="false">
      <c r="A41" s="22" t="s">
        <v>42</v>
      </c>
      <c r="B41" s="24" t="n">
        <v>0</v>
      </c>
      <c r="C41" s="24" t="n">
        <f aca="false">1-C40</f>
        <v>-0.0129262300760216</v>
      </c>
      <c r="D41" s="24" t="n">
        <f aca="false">1-D40</f>
        <v>0.012833277993301</v>
      </c>
      <c r="E41" s="24" t="n">
        <f aca="false">1-E40</f>
        <v>0.03173576424933</v>
      </c>
      <c r="F41" s="24" t="n">
        <f aca="false">1-F40</f>
        <v>0.0526295491456096</v>
      </c>
    </row>
    <row r="42" customFormat="false" ht="19.5" hidden="false" customHeight="true" outlineLevel="0" collapsed="false">
      <c r="A42" s="6" t="s">
        <v>94</v>
      </c>
      <c r="B42" s="6"/>
      <c r="C42" s="6"/>
      <c r="D42" s="6"/>
      <c r="E42" s="6"/>
      <c r="F42" s="6"/>
    </row>
    <row r="43" customFormat="false" ht="18" hidden="false" customHeight="true" outlineLevel="0" collapsed="false">
      <c r="A43" s="6" t="s">
        <v>95</v>
      </c>
      <c r="B43" s="6"/>
      <c r="C43" s="6"/>
      <c r="D43" s="6"/>
      <c r="E43" s="6"/>
      <c r="F43" s="6"/>
    </row>
    <row r="44" customFormat="false" ht="15" hidden="false" customHeight="false" outlineLevel="0" collapsed="false">
      <c r="A44" s="35" t="s">
        <v>70</v>
      </c>
      <c r="B44" s="26" t="n">
        <f aca="false">Underwriting!$F$15*$F$28</f>
        <v>128996.723540285</v>
      </c>
      <c r="C44" s="26" t="n">
        <f aca="false">$B44*C$40</f>
        <v>130664.16486782</v>
      </c>
      <c r="D44" s="26" t="n">
        <f aca="false">$B44*D$40</f>
        <v>127341.272726868</v>
      </c>
      <c r="E44" s="26" t="n">
        <f aca="false">$B44*E$40</f>
        <v>124902.913933075</v>
      </c>
      <c r="F44" s="26" t="n">
        <f aca="false">$B44*F$40</f>
        <v>122207.684139099</v>
      </c>
    </row>
    <row r="45" customFormat="false" ht="15" hidden="false" customHeight="false" outlineLevel="0" collapsed="false">
      <c r="A45" s="35" t="s">
        <v>71</v>
      </c>
      <c r="B45" s="26" t="n">
        <f aca="false">Underwriting!$F$15*$F$29</f>
        <v>103197.378832228</v>
      </c>
      <c r="C45" s="26" t="n">
        <f aca="false">$B45*C$40</f>
        <v>104531.331894256</v>
      </c>
      <c r="D45" s="26" t="n">
        <f aca="false">$B45*D$40</f>
        <v>101873.018181494</v>
      </c>
      <c r="E45" s="26" t="n">
        <f aca="false">$B45*E$40</f>
        <v>99922.3311464599</v>
      </c>
      <c r="F45" s="26" t="n">
        <f aca="false">$B45*F$40</f>
        <v>97766.1473112794</v>
      </c>
    </row>
    <row r="46" customFormat="false" ht="15" hidden="false" customHeight="false" outlineLevel="0" collapsed="false">
      <c r="A46" s="35" t="s">
        <v>72</v>
      </c>
      <c r="B46" s="26" t="n">
        <f aca="false">Underwriting!$F$15*$F$30</f>
        <v>111797.160401581</v>
      </c>
      <c r="C46" s="26" t="n">
        <f aca="false">$B46*C$40</f>
        <v>113242.276218777</v>
      </c>
      <c r="D46" s="26" t="n">
        <f aca="false">$B46*D$40</f>
        <v>110362.436363285</v>
      </c>
      <c r="E46" s="26" t="n">
        <f aca="false">$B46*E$40</f>
        <v>108249.192075332</v>
      </c>
      <c r="F46" s="26" t="n">
        <f aca="false">$B46*F$40</f>
        <v>105913.326253886</v>
      </c>
    </row>
    <row r="47" customFormat="false" ht="15" hidden="false" customHeight="false" outlineLevel="0" collapsed="false">
      <c r="A47" s="35" t="s">
        <v>73</v>
      </c>
      <c r="B47" s="26" t="n">
        <f aca="false">Underwriting!$F$15*$F$31</f>
        <v>68798.2525548188</v>
      </c>
      <c r="C47" s="26" t="n">
        <f aca="false">$B47*C$40</f>
        <v>69687.5545961707</v>
      </c>
      <c r="D47" s="26" t="n">
        <f aca="false">$B47*D$40</f>
        <v>67915.3454543295</v>
      </c>
      <c r="E47" s="26" t="n">
        <f aca="false">$B47*E$40</f>
        <v>66614.8874309733</v>
      </c>
      <c r="F47" s="26" t="n">
        <f aca="false">$B47*F$40</f>
        <v>65177.4315408529</v>
      </c>
    </row>
    <row r="48" customFormat="false" ht="15" hidden="false" customHeight="false" outlineLevel="0" collapsed="false">
      <c r="A48" s="35" t="s">
        <v>74</v>
      </c>
      <c r="B48" s="26" t="n">
        <f aca="false">Underwriting!$F$15*$F$32</f>
        <v>447188.641606323</v>
      </c>
      <c r="C48" s="26" t="n">
        <f aca="false">$B48*C$40</f>
        <v>452969.104875109</v>
      </c>
      <c r="D48" s="26" t="n">
        <f aca="false">$B48*D$40</f>
        <v>441449.745453142</v>
      </c>
      <c r="E48" s="26" t="n">
        <f aca="false">$B48*E$40</f>
        <v>432996.768301326</v>
      </c>
      <c r="F48" s="26" t="n">
        <f aca="false">$B48*F$40</f>
        <v>423653.305015544</v>
      </c>
    </row>
    <row r="49" customFormat="false" ht="15" hidden="false" customHeight="false" outlineLevel="0" collapsed="false">
      <c r="A49" s="22" t="s">
        <v>96</v>
      </c>
      <c r="B49" s="25" t="n">
        <f aca="false">SUM(B44:B48)</f>
        <v>859978.156935236</v>
      </c>
      <c r="C49" s="25" t="n">
        <f aca="false">SUM(C44:C48)</f>
        <v>871094.432452134</v>
      </c>
      <c r="D49" s="25" t="n">
        <f aca="false">SUM(D44:D48)</f>
        <v>848941.818179119</v>
      </c>
      <c r="E49" s="25" t="n">
        <f aca="false">SUM(E44:E48)</f>
        <v>832686.092887166</v>
      </c>
      <c r="F49" s="25" t="n">
        <f aca="false">SUM(F44:F48)</f>
        <v>814717.894260662</v>
      </c>
    </row>
    <row r="51" customFormat="false" ht="15" hidden="false" customHeight="false" outlineLevel="0" collapsed="false">
      <c r="A51" s="2" t="s">
        <v>97</v>
      </c>
      <c r="B51" s="2"/>
      <c r="C51" s="2"/>
      <c r="D51" s="2"/>
      <c r="E51" s="2"/>
      <c r="F51" s="2"/>
    </row>
    <row r="53" customFormat="false" ht="18" hidden="false" customHeight="true" outlineLevel="0" collapsed="false">
      <c r="A53" s="6" t="s">
        <v>98</v>
      </c>
      <c r="B53" s="6"/>
      <c r="C53" s="6"/>
      <c r="D53" s="6"/>
      <c r="E53" s="6"/>
      <c r="F53" s="6"/>
    </row>
    <row r="54" customFormat="false" ht="15" hidden="false" customHeight="false" outlineLevel="0" collapsed="false">
      <c r="A54" s="35" t="s">
        <v>70</v>
      </c>
      <c r="B54" s="26" t="n">
        <f aca="false">-B44*B21</f>
        <v>-23219.4102372514</v>
      </c>
      <c r="C54" s="26" t="n">
        <f aca="false">-C44*C21</f>
        <v>-22212.9080275294</v>
      </c>
      <c r="D54" s="26" t="n">
        <f aca="false">-D44*D21</f>
        <v>-24194.8418181049</v>
      </c>
      <c r="E54" s="26" t="n">
        <f aca="false">-E44*E21</f>
        <v>-17486.4079506305</v>
      </c>
      <c r="F54" s="26" t="n">
        <f aca="false">-F44*F21</f>
        <v>-25663.6136692109</v>
      </c>
    </row>
    <row r="55" customFormat="false" ht="15" hidden="false" customHeight="false" outlineLevel="0" collapsed="false">
      <c r="A55" s="35" t="s">
        <v>71</v>
      </c>
      <c r="B55" s="26" t="n">
        <f aca="false">-B45*B22</f>
        <v>-0</v>
      </c>
      <c r="C55" s="26" t="n">
        <f aca="false">-C45*C22</f>
        <v>-0</v>
      </c>
      <c r="D55" s="26" t="n">
        <f aca="false">-D45*D22</f>
        <v>-0</v>
      </c>
      <c r="E55" s="26" t="n">
        <f aca="false">-E45*E22</f>
        <v>-0</v>
      </c>
      <c r="F55" s="26" t="n">
        <f aca="false">-F45*F22</f>
        <v>-0</v>
      </c>
    </row>
    <row r="56" customFormat="false" ht="15" hidden="false" customHeight="false" outlineLevel="0" collapsed="false">
      <c r="A56" s="35" t="s">
        <v>72</v>
      </c>
      <c r="B56" s="26" t="n">
        <f aca="false">-B46*B23</f>
        <v>-22359.4320803161</v>
      </c>
      <c r="C56" s="26" t="n">
        <f aca="false">-C46*C23</f>
        <v>-21516.0324815677</v>
      </c>
      <c r="D56" s="26" t="n">
        <f aca="false">-D46*D23</f>
        <v>-23176.11163629</v>
      </c>
      <c r="E56" s="26" t="n">
        <f aca="false">-E46*E23</f>
        <v>-17319.870732053</v>
      </c>
      <c r="F56" s="26" t="n">
        <f aca="false">-F46*F23</f>
        <v>-24360.0650383938</v>
      </c>
    </row>
    <row r="57" customFormat="false" ht="15" hidden="false" customHeight="false" outlineLevel="0" collapsed="false">
      <c r="A57" s="35" t="s">
        <v>73</v>
      </c>
      <c r="B57" s="26" t="n">
        <f aca="false">-B47*B24</f>
        <v>-0</v>
      </c>
      <c r="C57" s="26" t="n">
        <f aca="false">-C47*C24</f>
        <v>-0</v>
      </c>
      <c r="D57" s="26" t="n">
        <f aca="false">-D47*D24</f>
        <v>-0</v>
      </c>
      <c r="E57" s="26" t="n">
        <f aca="false">-E47*E24</f>
        <v>-0</v>
      </c>
      <c r="F57" s="26" t="n">
        <f aca="false">-F47*F24</f>
        <v>-0</v>
      </c>
    </row>
    <row r="58" customFormat="false" ht="15" hidden="false" customHeight="false" outlineLevel="0" collapsed="false">
      <c r="A58" s="35" t="s">
        <v>74</v>
      </c>
      <c r="B58" s="26" t="n">
        <f aca="false">-B48*B25</f>
        <v>-13415.6592481897</v>
      </c>
      <c r="C58" s="26" t="n">
        <f aca="false">-C48*C25</f>
        <v>-12683.1349365031</v>
      </c>
      <c r="D58" s="26" t="n">
        <f aca="false">-D48*D25</f>
        <v>-14126.3918545005</v>
      </c>
      <c r="E58" s="26" t="n">
        <f aca="false">-E48*E25</f>
        <v>-8659.93536602652</v>
      </c>
      <c r="F58" s="26" t="n">
        <f aca="false">-F48*F25</f>
        <v>-16098.8255905907</v>
      </c>
    </row>
    <row r="59" customFormat="false" ht="15" hidden="false" customHeight="false" outlineLevel="0" collapsed="false">
      <c r="A59" s="22" t="s">
        <v>96</v>
      </c>
      <c r="B59" s="25" t="n">
        <f aca="false">SUM(B54:B58)</f>
        <v>-58994.5015657572</v>
      </c>
      <c r="C59" s="25" t="n">
        <f aca="false">SUM(C54:C58)</f>
        <v>-56412.0754456002</v>
      </c>
      <c r="D59" s="25" t="n">
        <f aca="false">SUM(D54:D58)</f>
        <v>-61497.3453088954</v>
      </c>
      <c r="E59" s="25" t="n">
        <f aca="false">SUM(E54:E58)</f>
        <v>-43466.21404871</v>
      </c>
      <c r="F59" s="25" t="n">
        <f aca="false">SUM(F54:F58)</f>
        <v>-66122.5042981953</v>
      </c>
    </row>
    <row r="61" customFormat="false" ht="18" hidden="false" customHeight="true" outlineLevel="0" collapsed="false">
      <c r="A61" s="6" t="s">
        <v>99</v>
      </c>
      <c r="B61" s="6"/>
      <c r="C61" s="6"/>
      <c r="D61" s="6"/>
      <c r="E61" s="6"/>
      <c r="F61" s="6"/>
    </row>
    <row r="62" customFormat="false" ht="15" hidden="false" customHeight="false" outlineLevel="0" collapsed="false">
      <c r="A62" s="35" t="s">
        <v>70</v>
      </c>
      <c r="B62" s="26" t="n">
        <f aca="false">B44+B54</f>
        <v>105777.313303034</v>
      </c>
      <c r="C62" s="26" t="n">
        <f aca="false">C44+C54</f>
        <v>108451.256840291</v>
      </c>
      <c r="D62" s="26" t="n">
        <f aca="false">D44+D54</f>
        <v>103146.430908763</v>
      </c>
      <c r="E62" s="26" t="n">
        <f aca="false">E44+E54</f>
        <v>107416.505982444</v>
      </c>
      <c r="F62" s="26" t="n">
        <f aca="false">F44+F54</f>
        <v>96544.0704698884</v>
      </c>
    </row>
    <row r="63" customFormat="false" ht="15" hidden="false" customHeight="false" outlineLevel="0" collapsed="false">
      <c r="A63" s="35" t="s">
        <v>71</v>
      </c>
      <c r="B63" s="26" t="n">
        <f aca="false">B45+B55</f>
        <v>103197.378832228</v>
      </c>
      <c r="C63" s="26" t="n">
        <f aca="false">C45+C55</f>
        <v>104531.331894256</v>
      </c>
      <c r="D63" s="26" t="n">
        <f aca="false">D45+D55</f>
        <v>101873.018181494</v>
      </c>
      <c r="E63" s="26" t="n">
        <f aca="false">E45+E55</f>
        <v>99922.3311464599</v>
      </c>
      <c r="F63" s="26" t="n">
        <f aca="false">F45+F55</f>
        <v>97766.1473112794</v>
      </c>
    </row>
    <row r="64" customFormat="false" ht="15" hidden="false" customHeight="false" outlineLevel="0" collapsed="false">
      <c r="A64" s="35" t="s">
        <v>72</v>
      </c>
      <c r="B64" s="26" t="n">
        <f aca="false">B46+B56</f>
        <v>89437.7283212645</v>
      </c>
      <c r="C64" s="26" t="n">
        <f aca="false">C46+C56</f>
        <v>91726.2437372097</v>
      </c>
      <c r="D64" s="26" t="n">
        <f aca="false">D46+D56</f>
        <v>87186.3247269955</v>
      </c>
      <c r="E64" s="26" t="n">
        <f aca="false">E46+E56</f>
        <v>90929.3213432785</v>
      </c>
      <c r="F64" s="26" t="n">
        <f aca="false">F46+F56</f>
        <v>81553.2612154923</v>
      </c>
    </row>
    <row r="65" customFormat="false" ht="15" hidden="false" customHeight="false" outlineLevel="0" collapsed="false">
      <c r="A65" s="35" t="s">
        <v>73</v>
      </c>
      <c r="B65" s="26" t="n">
        <f aca="false">B47+B57</f>
        <v>68798.2525548188</v>
      </c>
      <c r="C65" s="26" t="n">
        <f aca="false">C47+C57</f>
        <v>69687.5545961707</v>
      </c>
      <c r="D65" s="26" t="n">
        <f aca="false">D47+D57</f>
        <v>67915.3454543295</v>
      </c>
      <c r="E65" s="26" t="n">
        <f aca="false">E47+E57</f>
        <v>66614.8874309733</v>
      </c>
      <c r="F65" s="26" t="n">
        <f aca="false">F47+F57</f>
        <v>65177.4315408529</v>
      </c>
    </row>
    <row r="66" customFormat="false" ht="15" hidden="false" customHeight="false" outlineLevel="0" collapsed="false">
      <c r="A66" s="35" t="s">
        <v>74</v>
      </c>
      <c r="B66" s="26" t="n">
        <f aca="false">B48+B58</f>
        <v>433772.982358133</v>
      </c>
      <c r="C66" s="26" t="n">
        <f aca="false">C48+C58</f>
        <v>440285.969938606</v>
      </c>
      <c r="D66" s="26" t="n">
        <f aca="false">D48+D58</f>
        <v>427323.353598641</v>
      </c>
      <c r="E66" s="26" t="n">
        <f aca="false">E48+E58</f>
        <v>424336.8329353</v>
      </c>
      <c r="F66" s="26" t="n">
        <f aca="false">F48+F58</f>
        <v>407554.479424954</v>
      </c>
    </row>
    <row r="67" customFormat="false" ht="15" hidden="false" customHeight="false" outlineLevel="0" collapsed="false">
      <c r="A67" s="39" t="s">
        <v>96</v>
      </c>
      <c r="B67" s="40" t="n">
        <f aca="false">SUM(B62:B66)</f>
        <v>800983.655369479</v>
      </c>
      <c r="C67" s="40" t="n">
        <f aca="false">SUM(C62:C66)</f>
        <v>814682.357006533</v>
      </c>
      <c r="D67" s="40" t="n">
        <f aca="false">SUM(D62:D66)</f>
        <v>787444.472870224</v>
      </c>
      <c r="E67" s="40" t="n">
        <f aca="false">SUM(E62:E66)</f>
        <v>789219.878838456</v>
      </c>
      <c r="F67" s="40" t="n">
        <f aca="false">SUM(F62:F66)</f>
        <v>748595.389962467</v>
      </c>
    </row>
    <row r="69" customFormat="false" ht="19.5" hidden="false" customHeight="true" outlineLevel="0" collapsed="false">
      <c r="A69" s="6" t="s">
        <v>100</v>
      </c>
      <c r="B69" s="6"/>
      <c r="C69" s="6"/>
      <c r="D69" s="6"/>
      <c r="E69" s="6"/>
      <c r="F69" s="6"/>
    </row>
    <row r="70" customFormat="false" ht="15" hidden="false" customHeight="false" outlineLevel="0" collapsed="false">
      <c r="A70" s="35" t="s">
        <v>101</v>
      </c>
      <c r="B70" s="26" t="n">
        <f aca="false">B62+B64</f>
        <v>195215.041624299</v>
      </c>
      <c r="C70" s="26" t="n">
        <f aca="false">C62+C64</f>
        <v>200177.5005775</v>
      </c>
      <c r="D70" s="26" t="n">
        <f aca="false">D62+D64</f>
        <v>190332.755635759</v>
      </c>
      <c r="E70" s="26" t="n">
        <f aca="false">E62+E64</f>
        <v>198345.827325723</v>
      </c>
      <c r="F70" s="26" t="n">
        <f aca="false">F62+F64</f>
        <v>178097.331685381</v>
      </c>
    </row>
    <row r="71" customFormat="false" ht="15" hidden="false" customHeight="false" outlineLevel="0" collapsed="false">
      <c r="A71" s="35" t="s">
        <v>102</v>
      </c>
      <c r="B71" s="26" t="n">
        <f aca="false">B63+B65</f>
        <v>171995.631387047</v>
      </c>
      <c r="C71" s="26" t="n">
        <f aca="false">C63+C65</f>
        <v>174218.886490427</v>
      </c>
      <c r="D71" s="26" t="n">
        <f aca="false">D63+D65</f>
        <v>169788.363635824</v>
      </c>
      <c r="E71" s="26" t="n">
        <f aca="false">E63+E65</f>
        <v>166537.218577433</v>
      </c>
      <c r="F71" s="26" t="n">
        <f aca="false">F63+F65</f>
        <v>162943.578852132</v>
      </c>
    </row>
    <row r="72" customFormat="false" ht="15" hidden="false" customHeight="false" outlineLevel="0" collapsed="false">
      <c r="A72" s="35" t="s">
        <v>74</v>
      </c>
      <c r="B72" s="26" t="n">
        <f aca="false">B66</f>
        <v>433772.982358133</v>
      </c>
      <c r="C72" s="26" t="n">
        <f aca="false">C66</f>
        <v>440285.969938606</v>
      </c>
      <c r="D72" s="26" t="n">
        <f aca="false">D66</f>
        <v>427323.353598641</v>
      </c>
      <c r="E72" s="26" t="n">
        <f aca="false">E66</f>
        <v>424336.8329353</v>
      </c>
      <c r="F72" s="26" t="n">
        <f aca="false">F66</f>
        <v>407554.479424954</v>
      </c>
    </row>
    <row r="73" customFormat="false" ht="15" hidden="false" customHeight="false" outlineLevel="0" collapsed="false">
      <c r="A73" s="35" t="s">
        <v>103</v>
      </c>
      <c r="B73" s="26" t="n">
        <f aca="false">B67-B66</f>
        <v>367210.673011346</v>
      </c>
      <c r="C73" s="26" t="n">
        <f aca="false">C67-C66</f>
        <v>374396.387067927</v>
      </c>
      <c r="D73" s="26" t="n">
        <f aca="false">D67-D66</f>
        <v>360121.119271582</v>
      </c>
      <c r="E73" s="26" t="n">
        <f aca="false">E67-E66</f>
        <v>364883.045903156</v>
      </c>
      <c r="F73" s="26" t="n">
        <f aca="false">F67-F66</f>
        <v>341040.910537513</v>
      </c>
    </row>
    <row r="75" customFormat="false" ht="15" hidden="false" customHeight="false" outlineLevel="0" collapsed="false">
      <c r="A75" s="20" t="s">
        <v>44</v>
      </c>
      <c r="B75" s="26" t="n">
        <v>0</v>
      </c>
      <c r="C75" s="26" t="n">
        <f aca="false">$B$67-C67</f>
        <v>-13698.7016370548</v>
      </c>
      <c r="D75" s="26" t="n">
        <f aca="false">$B$67-D67</f>
        <v>13539.1824992548</v>
      </c>
      <c r="E75" s="26" t="n">
        <f aca="false">$B$67-E67</f>
        <v>11763.776531023</v>
      </c>
      <c r="F75" s="26" t="n">
        <f aca="false">$B$67-F67</f>
        <v>52388.2654070118</v>
      </c>
    </row>
    <row r="76" customFormat="false" ht="15" hidden="false" customHeight="false" outlineLevel="0" collapsed="false">
      <c r="A76" s="20" t="s">
        <v>104</v>
      </c>
      <c r="B76" s="41" t="n">
        <v>0</v>
      </c>
      <c r="C76" s="41" t="n">
        <f aca="false">IFERROR(C75/$B$67,0)</f>
        <v>-0.0171023485251217</v>
      </c>
      <c r="D76" s="41" t="n">
        <f aca="false">IFERROR(D75/$B$67,0)</f>
        <v>0.0169031944765583</v>
      </c>
      <c r="E76" s="41" t="n">
        <f aca="false">IFERROR(E75/$B$67,0)</f>
        <v>0.0146866623958719</v>
      </c>
      <c r="F76" s="41" t="n">
        <f aca="false">IFERROR(F75/$B$67,0)</f>
        <v>0.0654049118927978</v>
      </c>
    </row>
    <row r="78" customFormat="false" ht="15" hidden="false" customHeight="false" outlineLevel="0" collapsed="false">
      <c r="A78" s="20" t="s">
        <v>45</v>
      </c>
      <c r="B78" s="27" t="str">
        <f aca="false">IF(AND(C76&gt;=D76,C76&gt;=E76,C76&gt;=F76),"Incumbent Renewal",IF(AND(D76&gt;=C76,D76&gt;=E76,D76&gt;=F76),"Vendor A",IF(AND(E76&gt;=C76,E76&gt;=D76,E76&gt;=F76),"Vendor B","Vendor C")))</f>
        <v>Vendor C</v>
      </c>
      <c r="C78" s="27"/>
      <c r="D78" s="27"/>
      <c r="E78" s="27"/>
      <c r="F78" s="27"/>
    </row>
  </sheetData>
  <mergeCells count="22">
    <mergeCell ref="A1:F1"/>
    <mergeCell ref="A2:F2"/>
    <mergeCell ref="A4:F4"/>
    <mergeCell ref="A5:F5"/>
    <mergeCell ref="A13:F13"/>
    <mergeCell ref="A19:F19"/>
    <mergeCell ref="A27:F27"/>
    <mergeCell ref="A28:E28"/>
    <mergeCell ref="A29:E29"/>
    <mergeCell ref="A30:E30"/>
    <mergeCell ref="A31:E31"/>
    <mergeCell ref="A32:E32"/>
    <mergeCell ref="A33:E33"/>
    <mergeCell ref="A35:F35"/>
    <mergeCell ref="A36:F36"/>
    <mergeCell ref="A42:F42"/>
    <mergeCell ref="A43:F43"/>
    <mergeCell ref="A51:F51"/>
    <mergeCell ref="A53:F53"/>
    <mergeCell ref="A61:F61"/>
    <mergeCell ref="A69:F69"/>
    <mergeCell ref="B78:F78"/>
  </mergeCells>
  <conditionalFormatting sqref="F33">
    <cfRule type="expression" priority="2" aboveAverage="0" equalAverage="0" bottom="0" percent="0" rank="0" text="" dxfId="1">
      <formula>ABS(F33-1)&gt;0.001</formula>
    </cfRule>
  </conditionalFormatting>
  <conditionalFormatting sqref="C76:F76">
    <cfRule type="expression" priority="3" aboveAverage="0" equalAverage="0" bottom="0" percent="0" rank="0" text="" dxfId="0">
      <formula>C76=MAX($C76:$F76)</formula>
    </cfRule>
  </conditionalFormatting>
  <conditionalFormatting sqref="C67:F67">
    <cfRule type="expression" priority="4" aboveAverage="0" equalAverage="0" bottom="0" percent="0" rank="0" text="" dxfId="0">
      <formula>C67=MIN($C67:$F67)</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5" min="2" style="0" width="15"/>
    <col collapsed="false" customWidth="true" hidden="false" outlineLevel="0" max="6" min="6" style="0" width="18"/>
  </cols>
  <sheetData>
    <row r="1" customFormat="false" ht="21.75" hidden="false" customHeight="true" outlineLevel="0" collapsed="false">
      <c r="A1" s="1" t="s">
        <v>105</v>
      </c>
      <c r="B1" s="1"/>
      <c r="C1" s="1"/>
      <c r="D1" s="1"/>
      <c r="E1" s="1"/>
      <c r="F1" s="1"/>
    </row>
    <row r="2" customFormat="false" ht="33.75" hidden="false" customHeight="true" outlineLevel="0" collapsed="false">
      <c r="A2" s="9" t="s">
        <v>106</v>
      </c>
      <c r="B2" s="9"/>
      <c r="C2" s="9"/>
      <c r="D2" s="9"/>
      <c r="E2" s="9"/>
      <c r="F2" s="9"/>
    </row>
    <row r="4" customFormat="false" ht="19.5" hidden="false" customHeight="true" outlineLevel="0" collapsed="false">
      <c r="A4" s="6" t="s">
        <v>107</v>
      </c>
      <c r="B4" s="6"/>
      <c r="C4" s="6"/>
      <c r="D4" s="6"/>
      <c r="E4" s="6"/>
      <c r="F4" s="6"/>
    </row>
    <row r="5" customFormat="false" ht="33.75" hidden="false" customHeight="true" outlineLevel="0" collapsed="false">
      <c r="A5" s="9" t="s">
        <v>108</v>
      </c>
      <c r="B5" s="9"/>
      <c r="C5" s="9"/>
      <c r="D5" s="9"/>
      <c r="E5" s="9"/>
      <c r="F5" s="9"/>
    </row>
    <row r="7" customFormat="false" ht="27.75" hidden="false" customHeight="true" outlineLevel="0" collapsed="false">
      <c r="A7" s="20" t="s">
        <v>40</v>
      </c>
      <c r="B7" s="21"/>
      <c r="C7" s="21" t="s">
        <v>90</v>
      </c>
      <c r="D7" s="21" t="s">
        <v>91</v>
      </c>
      <c r="E7" s="21" t="s">
        <v>92</v>
      </c>
      <c r="F7" s="21" t="s">
        <v>93</v>
      </c>
    </row>
    <row r="8" customFormat="false" ht="15" hidden="false" customHeight="false" outlineLevel="0" collapsed="false">
      <c r="A8" s="22" t="s">
        <v>47</v>
      </c>
      <c r="B8" s="28"/>
      <c r="C8" s="28" t="n">
        <v>0</v>
      </c>
      <c r="D8" s="28" t="n">
        <f aca="false">'Network Disruption'!B23</f>
        <v>0</v>
      </c>
      <c r="E8" s="28" t="n">
        <f aca="false">'Network Disruption'!C23</f>
        <v>1</v>
      </c>
      <c r="F8" s="28" t="n">
        <f aca="false">'Network Disruption'!D23</f>
        <v>1</v>
      </c>
    </row>
    <row r="9" customFormat="false" ht="15" hidden="false" customHeight="false" outlineLevel="0" collapsed="false">
      <c r="A9" s="22" t="s">
        <v>48</v>
      </c>
      <c r="B9" s="28"/>
      <c r="C9" s="28" t="n">
        <v>0</v>
      </c>
      <c r="D9" s="28" t="n">
        <f aca="false">'Network Disruption'!B29</f>
        <v>0</v>
      </c>
      <c r="E9" s="28" t="n">
        <f aca="false">'Network Disruption'!C29</f>
        <v>3</v>
      </c>
      <c r="F9" s="28" t="n">
        <f aca="false">'Network Disruption'!D29</f>
        <v>3</v>
      </c>
    </row>
    <row r="10" customFormat="false" ht="15" hidden="false" customHeight="false" outlineLevel="0" collapsed="false">
      <c r="A10" s="22" t="s">
        <v>49</v>
      </c>
      <c r="B10" s="29"/>
      <c r="C10" s="29" t="n">
        <v>0</v>
      </c>
      <c r="D10" s="29" t="n">
        <f aca="false">'Network Disruption'!B35</f>
        <v>0</v>
      </c>
      <c r="E10" s="29" t="n">
        <f aca="false">'Network Disruption'!C35</f>
        <v>38.51862</v>
      </c>
      <c r="F10" s="29" t="n">
        <f aca="false">'Network Disruption'!D35</f>
        <v>368.53599</v>
      </c>
    </row>
    <row r="11" customFormat="false" ht="15" hidden="false" customHeight="false" outlineLevel="0" collapsed="false">
      <c r="A11" s="22" t="s">
        <v>50</v>
      </c>
      <c r="B11" s="24"/>
      <c r="C11" s="24" t="n">
        <v>0</v>
      </c>
      <c r="D11" s="24" t="n">
        <f aca="false">'Network Disruption'!B41</f>
        <v>0</v>
      </c>
      <c r="E11" s="24" t="n">
        <f aca="false">'Network Disruption'!C41</f>
        <v>0.0105390938833874</v>
      </c>
      <c r="F11" s="24" t="n">
        <f aca="false">'Network Disruption'!D41</f>
        <v>0.100835268709448</v>
      </c>
    </row>
    <row r="13" customFormat="false" ht="15" hidden="false" customHeight="false" outlineLevel="0" collapsed="false">
      <c r="A13" s="20" t="s">
        <v>51</v>
      </c>
      <c r="B13" s="27" t="str">
        <f aca="false">IF(AND(C11&lt;=D11,C11&lt;=E11,C11&lt;=F11),"Incumbent Renewal",IF(AND(D11&lt;=C11,D11&lt;=E11,D11&lt;=F11),"Vendor A",IF(AND(E11&lt;=C11,E11&lt;=D11,E11&lt;=F11),"Vendor B","Vendor C")))</f>
        <v>Incumbent Renewal</v>
      </c>
      <c r="C13" s="27"/>
      <c r="D13" s="27"/>
      <c r="E13" s="27"/>
      <c r="F13" s="27"/>
    </row>
  </sheetData>
  <mergeCells count="5">
    <mergeCell ref="A1:F1"/>
    <mergeCell ref="A2:F2"/>
    <mergeCell ref="A4:F4"/>
    <mergeCell ref="A5:F5"/>
    <mergeCell ref="B13:F13"/>
  </mergeCells>
  <conditionalFormatting sqref="C11:F11">
    <cfRule type="expression" priority="2" aboveAverage="0" equalAverage="0" bottom="0" percent="0" rank="0" text="" dxfId="0">
      <formula>C11=MIN($C11:$F11)</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C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10"/>
    <col collapsed="false" customWidth="true" hidden="false" outlineLevel="0" max="2" min="2" style="0" width="11"/>
    <col collapsed="false" customWidth="true" hidden="false" outlineLevel="0" max="3" min="3" style="0" width="13"/>
    <col collapsed="false" customWidth="true" hidden="false" outlineLevel="0" max="4" min="4" style="0" width="20"/>
    <col collapsed="false" customWidth="true" hidden="false" outlineLevel="0" max="5" min="5" style="0" width="13"/>
    <col collapsed="false" customWidth="true" hidden="false" outlineLevel="0" max="6" min="6" style="0" width="11"/>
    <col collapsed="false" customWidth="true" hidden="false" outlineLevel="0" max="7" min="7" style="0" width="15"/>
    <col collapsed="false" customWidth="true" hidden="false" outlineLevel="0" max="8" min="8" style="0" width="22"/>
    <col collapsed="false" customWidth="true" hidden="false" outlineLevel="0" max="10" min="9" style="0" width="11"/>
    <col collapsed="false" customWidth="true" hidden="false" outlineLevel="0" max="11" min="11" style="0" width="9"/>
    <col collapsed="false" customWidth="true" hidden="false" outlineLevel="0" max="12" min="12" style="0" width="10"/>
    <col collapsed="false" customWidth="true" hidden="false" outlineLevel="0" max="13" min="13" style="0" width="11"/>
    <col collapsed="false" customWidth="true" hidden="false" outlineLevel="0" max="14" min="14" style="0" width="14"/>
    <col collapsed="false" customWidth="true" hidden="false" outlineLevel="0" max="15" min="15" style="0" width="13"/>
    <col collapsed="false" customWidth="true" hidden="false" outlineLevel="0" max="16" min="16" style="0" width="11"/>
    <col collapsed="false" customWidth="true" hidden="false" outlineLevel="0" max="17" min="17" style="0" width="10"/>
    <col collapsed="false" customWidth="true" hidden="false" outlineLevel="0" max="18" min="18" style="0" width="12"/>
    <col collapsed="false" customWidth="true" hidden="false" outlineLevel="0" max="19" min="19" style="0" width="11"/>
    <col collapsed="false" customWidth="true" hidden="false" outlineLevel="0" max="20" min="20" style="0" width="10"/>
    <col collapsed="false" customWidth="true" hidden="false" outlineLevel="0" max="21" min="21" style="0" width="12"/>
    <col collapsed="false" customWidth="true" hidden="false" outlineLevel="0" max="22" min="22" style="0" width="11"/>
    <col collapsed="false" customWidth="true" hidden="false" outlineLevel="0" max="23" min="23" style="0" width="10"/>
    <col collapsed="false" customWidth="true" hidden="false" outlineLevel="0" max="24" min="24" style="0" width="12"/>
    <col collapsed="false" customWidth="true" hidden="false" outlineLevel="0" max="25" min="25" style="0" width="11"/>
    <col collapsed="false" customWidth="true" hidden="false" outlineLevel="0" max="26" min="26" style="0" width="10"/>
    <col collapsed="false" customWidth="true" hidden="false" outlineLevel="0" max="29" min="27" style="0" width="11"/>
  </cols>
  <sheetData>
    <row r="1" customFormat="false" ht="21.75" hidden="false" customHeight="true" outlineLevel="0" collapsed="false">
      <c r="A1" s="1" t="s">
        <v>109</v>
      </c>
      <c r="B1" s="1"/>
      <c r="C1" s="1"/>
      <c r="D1" s="1"/>
      <c r="E1" s="1"/>
      <c r="F1" s="1"/>
      <c r="G1" s="1"/>
      <c r="H1" s="1"/>
      <c r="I1" s="1"/>
      <c r="J1" s="1"/>
      <c r="K1" s="1"/>
      <c r="L1" s="1"/>
      <c r="M1" s="1"/>
      <c r="N1" s="1"/>
      <c r="O1" s="1"/>
      <c r="P1" s="1"/>
      <c r="Q1" s="1"/>
      <c r="R1" s="1"/>
      <c r="S1" s="1"/>
      <c r="T1" s="1"/>
      <c r="U1" s="1"/>
      <c r="V1" s="1"/>
      <c r="W1" s="1"/>
      <c r="X1" s="1"/>
      <c r="Y1" s="1"/>
      <c r="Z1" s="1"/>
      <c r="AA1" s="1"/>
      <c r="AB1" s="1"/>
      <c r="AC1" s="1"/>
    </row>
    <row r="2" customFormat="false" ht="33.75" hidden="false" customHeight="true" outlineLevel="0" collapsed="false">
      <c r="A2" s="15" t="s">
        <v>110</v>
      </c>
      <c r="B2" s="15" t="s">
        <v>111</v>
      </c>
      <c r="C2" s="15" t="s">
        <v>89</v>
      </c>
      <c r="D2" s="15" t="s">
        <v>112</v>
      </c>
      <c r="E2" s="15" t="s">
        <v>113</v>
      </c>
      <c r="F2" s="15" t="s">
        <v>114</v>
      </c>
      <c r="G2" s="15" t="s">
        <v>115</v>
      </c>
      <c r="H2" s="15" t="s">
        <v>116</v>
      </c>
      <c r="I2" s="15" t="s">
        <v>117</v>
      </c>
      <c r="J2" s="15" t="s">
        <v>118</v>
      </c>
      <c r="K2" s="15" t="s">
        <v>119</v>
      </c>
      <c r="L2" s="15" t="s">
        <v>120</v>
      </c>
      <c r="M2" s="15" t="s">
        <v>121</v>
      </c>
      <c r="N2" s="15" t="s">
        <v>122</v>
      </c>
      <c r="O2" s="16" t="s">
        <v>123</v>
      </c>
      <c r="P2" s="16" t="s">
        <v>124</v>
      </c>
      <c r="Q2" s="16" t="s">
        <v>125</v>
      </c>
      <c r="R2" s="17" t="s">
        <v>126</v>
      </c>
      <c r="S2" s="17" t="s">
        <v>127</v>
      </c>
      <c r="T2" s="17" t="s">
        <v>128</v>
      </c>
      <c r="U2" s="18" t="s">
        <v>129</v>
      </c>
      <c r="V2" s="18" t="s">
        <v>130</v>
      </c>
      <c r="W2" s="18" t="s">
        <v>131</v>
      </c>
      <c r="X2" s="19" t="s">
        <v>132</v>
      </c>
      <c r="Y2" s="19" t="s">
        <v>133</v>
      </c>
      <c r="Z2" s="19" t="s">
        <v>134</v>
      </c>
      <c r="AA2" s="17" t="s">
        <v>135</v>
      </c>
      <c r="AB2" s="18" t="s">
        <v>136</v>
      </c>
      <c r="AC2" s="19" t="s">
        <v>137</v>
      </c>
    </row>
    <row r="3" customFormat="false" ht="15" hidden="false" customHeight="false" outlineLevel="0" collapsed="false">
      <c r="A3" s="35" t="s">
        <v>138</v>
      </c>
      <c r="B3" s="35" t="s">
        <v>139</v>
      </c>
      <c r="C3" s="35" t="s">
        <v>73</v>
      </c>
      <c r="D3" s="35" t="s">
        <v>140</v>
      </c>
      <c r="E3" s="35" t="s">
        <v>141</v>
      </c>
      <c r="F3" s="35" t="s">
        <v>142</v>
      </c>
      <c r="G3" s="35" t="s">
        <v>77</v>
      </c>
      <c r="H3" s="35" t="s">
        <v>143</v>
      </c>
      <c r="I3" s="42" t="n">
        <v>46134</v>
      </c>
      <c r="J3" s="43" t="n">
        <v>0.753</v>
      </c>
      <c r="K3" s="35" t="n">
        <v>90</v>
      </c>
      <c r="L3" s="35" t="n">
        <v>90</v>
      </c>
      <c r="M3" s="26" t="n">
        <f aca="false">J3*K3</f>
        <v>67.77</v>
      </c>
      <c r="N3" s="26" t="n">
        <f aca="false">$M3*(1-INDEX('Vendor Cost Comparison'!$B$7:$B$11,MATCH($C3,'Vendor Cost Comparison'!$A$7:$A$11,0)))+INDEX('Vendor Cost Comparison'!$B$15:$B$17,MATCH($G3,'Vendor Cost Comparison'!$A$15:$A$17,0))</f>
        <v>12.4486</v>
      </c>
      <c r="O3" s="26" t="n">
        <f aca="false">$M3*(1-INDEX('Vendor Cost Comparison'!$C$7:$C$11,MATCH($C3,'Vendor Cost Comparison'!$A$7:$A$11,0)))+INDEX('Vendor Cost Comparison'!$C$15:$C$17,MATCH($G3,'Vendor Cost Comparison'!$A$15:$A$17,0))</f>
        <v>13.854</v>
      </c>
      <c r="P3" s="26" t="n">
        <f aca="false">N3-O3</f>
        <v>-1.40539999999999</v>
      </c>
      <c r="Q3" s="41" t="n">
        <f aca="false">IFERROR(P3/N3,0)</f>
        <v>-0.11289622929486</v>
      </c>
      <c r="R3" s="26" t="n">
        <f aca="false">$M3*(1-INDEX('Vendor Cost Comparison'!$D$7:$D$11,MATCH($C3,'Vendor Cost Comparison'!$A$7:$A$11,0)))+INDEX('Vendor Cost Comparison'!$D$15:$D$17,MATCH($G3,'Vendor Cost Comparison'!$A$15:$A$17,0))</f>
        <v>11.5209</v>
      </c>
      <c r="S3" s="26" t="n">
        <f aca="false">N3-R3</f>
        <v>0.9277</v>
      </c>
      <c r="T3" s="41" t="n">
        <f aca="false">IFERROR(S3/N3,0)</f>
        <v>0.0745224362578924</v>
      </c>
      <c r="U3" s="26" t="n">
        <f aca="false">$M3*(1-INDEX('Vendor Cost Comparison'!$E$7:$E$11,MATCH($C3,'Vendor Cost Comparison'!$A$7:$A$11,0)))+INDEX('Vendor Cost Comparison'!$E$15:$E$17,MATCH($G3,'Vendor Cost Comparison'!$A$15:$A$17,0))</f>
        <v>8.8101</v>
      </c>
      <c r="V3" s="26" t="n">
        <f aca="false">N3-U3</f>
        <v>3.6385</v>
      </c>
      <c r="W3" s="41" t="n">
        <f aca="false">IFERROR(V3/N3,0)</f>
        <v>0.292281863020741</v>
      </c>
      <c r="X3" s="26" t="n">
        <f aca="false">$M3*(1-INDEX('Vendor Cost Comparison'!$F$7:$F$11,MATCH($C3,'Vendor Cost Comparison'!$A$7:$A$11,0)))+INDEX('Vendor Cost Comparison'!$F$15:$F$17,MATCH($G3,'Vendor Cost Comparison'!$A$15:$A$17,0))</f>
        <v>10.2655</v>
      </c>
      <c r="Y3" s="26" t="n">
        <f aca="false">N3-X3</f>
        <v>2.1831</v>
      </c>
      <c r="Z3" s="41" t="n">
        <f aca="false">IFERROR(Y3/N3,0)</f>
        <v>0.175369117812445</v>
      </c>
      <c r="AA3" s="44" t="s">
        <v>144</v>
      </c>
      <c r="AB3" s="44" t="s">
        <v>144</v>
      </c>
      <c r="AC3" s="44" t="s">
        <v>144</v>
      </c>
    </row>
    <row r="4" customFormat="false" ht="15" hidden="false" customHeight="false" outlineLevel="0" collapsed="false">
      <c r="A4" s="35" t="s">
        <v>145</v>
      </c>
      <c r="B4" s="35" t="s">
        <v>146</v>
      </c>
      <c r="C4" s="35" t="s">
        <v>70</v>
      </c>
      <c r="D4" s="35" t="s">
        <v>147</v>
      </c>
      <c r="E4" s="35" t="s">
        <v>148</v>
      </c>
      <c r="F4" s="35" t="s">
        <v>149</v>
      </c>
      <c r="G4" s="35" t="s">
        <v>76</v>
      </c>
      <c r="H4" s="35" t="s">
        <v>150</v>
      </c>
      <c r="I4" s="42" t="n">
        <v>45845</v>
      </c>
      <c r="J4" s="43" t="n">
        <v>13.8493</v>
      </c>
      <c r="K4" s="35" t="n">
        <v>30</v>
      </c>
      <c r="L4" s="35" t="n">
        <v>30</v>
      </c>
      <c r="M4" s="26" t="n">
        <f aca="false">J4*K4</f>
        <v>415.479</v>
      </c>
      <c r="N4" s="26" t="n">
        <f aca="false">$M4*(1-INDEX('Vendor Cost Comparison'!$B$7:$B$11,MATCH($C4,'Vendor Cost Comparison'!$A$7:$A$11,0)))+INDEX('Vendor Cost Comparison'!$B$15:$B$17,MATCH($G4,'Vendor Cost Comparison'!$A$15:$A$17,0))</f>
        <v>346.59757</v>
      </c>
      <c r="O4" s="26" t="n">
        <f aca="false">$M4*(1-INDEX('Vendor Cost Comparison'!$C$7:$C$11,MATCH($C4,'Vendor Cost Comparison'!$A$7:$A$11,0)))+INDEX('Vendor Cost Comparison'!$C$15:$C$17,MATCH($G4,'Vendor Cost Comparison'!$A$15:$A$17,0))</f>
        <v>350.85236</v>
      </c>
      <c r="P4" s="26" t="n">
        <f aca="false">N4-O4</f>
        <v>-4.25479000000001</v>
      </c>
      <c r="Q4" s="41" t="n">
        <f aca="false">IFERROR(P4/N4,0)</f>
        <v>-0.0122758794875567</v>
      </c>
      <c r="R4" s="26" t="n">
        <f aca="false">$M4*(1-INDEX('Vendor Cost Comparison'!$D$7:$D$11,MATCH($C4,'Vendor Cost Comparison'!$A$7:$A$11,0)))+INDEX('Vendor Cost Comparison'!$D$15:$D$17,MATCH($G4,'Vendor Cost Comparison'!$A$15:$A$17,0))</f>
        <v>342.19278</v>
      </c>
      <c r="S4" s="26" t="n">
        <f aca="false">N4-R4</f>
        <v>4.40478999999993</v>
      </c>
      <c r="T4" s="41" t="n">
        <f aca="false">IFERROR(S4/N4,0)</f>
        <v>0.0127086580555078</v>
      </c>
      <c r="U4" s="26" t="n">
        <f aca="false">$M4*(1-INDEX('Vendor Cost Comparison'!$E$7:$E$11,MATCH($C4,'Vendor Cost Comparison'!$A$7:$A$11,0)))+INDEX('Vendor Cost Comparison'!$E$15:$E$17,MATCH($G4,'Vendor Cost Comparison'!$A$15:$A$17,0))</f>
        <v>333.2832</v>
      </c>
      <c r="V4" s="26" t="n">
        <f aca="false">N4-U4</f>
        <v>13.31437</v>
      </c>
      <c r="W4" s="41" t="n">
        <f aca="false">IFERROR(V4/N4,0)</f>
        <v>0.0384144932118249</v>
      </c>
      <c r="X4" s="26" t="n">
        <f aca="false">$M4*(1-INDEX('Vendor Cost Comparison'!$F$7:$F$11,MATCH($C4,'Vendor Cost Comparison'!$A$7:$A$11,0)))+INDEX('Vendor Cost Comparison'!$F$15:$F$17,MATCH($G4,'Vendor Cost Comparison'!$A$15:$A$17,0))</f>
        <v>337.78799</v>
      </c>
      <c r="Y4" s="26" t="n">
        <f aca="false">N4-X4</f>
        <v>8.80957999999993</v>
      </c>
      <c r="Z4" s="41" t="n">
        <f aca="false">IFERROR(Y4/N4,0)</f>
        <v>0.0254173161110158</v>
      </c>
      <c r="AA4" s="44" t="s">
        <v>151</v>
      </c>
      <c r="AB4" s="44" t="s">
        <v>151</v>
      </c>
      <c r="AC4" s="44" t="s">
        <v>152</v>
      </c>
    </row>
    <row r="5" customFormat="false" ht="15" hidden="false" customHeight="false" outlineLevel="0" collapsed="false">
      <c r="A5" s="35" t="s">
        <v>153</v>
      </c>
      <c r="B5" s="35" t="s">
        <v>154</v>
      </c>
      <c r="C5" s="35" t="s">
        <v>70</v>
      </c>
      <c r="D5" s="35" t="s">
        <v>147</v>
      </c>
      <c r="E5" s="35" t="s">
        <v>155</v>
      </c>
      <c r="F5" s="35" t="s">
        <v>149</v>
      </c>
      <c r="G5" s="35" t="s">
        <v>76</v>
      </c>
      <c r="H5" s="35" t="s">
        <v>156</v>
      </c>
      <c r="I5" s="42" t="n">
        <v>46060</v>
      </c>
      <c r="J5" s="43" t="n">
        <v>20.7873</v>
      </c>
      <c r="K5" s="35" t="n">
        <v>30</v>
      </c>
      <c r="L5" s="35" t="n">
        <v>30</v>
      </c>
      <c r="M5" s="26" t="n">
        <f aca="false">J5*K5</f>
        <v>623.619</v>
      </c>
      <c r="N5" s="26" t="n">
        <f aca="false">$M5*(1-INDEX('Vendor Cost Comparison'!$B$7:$B$11,MATCH($C5,'Vendor Cost Comparison'!$A$7:$A$11,0)))+INDEX('Vendor Cost Comparison'!$B$15:$B$17,MATCH($G5,'Vendor Cost Comparison'!$A$15:$A$17,0))</f>
        <v>519.35377</v>
      </c>
      <c r="O5" s="26" t="n">
        <f aca="false">$M5*(1-INDEX('Vendor Cost Comparison'!$C$7:$C$11,MATCH($C5,'Vendor Cost Comparison'!$A$7:$A$11,0)))+INDEX('Vendor Cost Comparison'!$C$15:$C$17,MATCH($G5,'Vendor Cost Comparison'!$A$15:$A$17,0))</f>
        <v>525.68996</v>
      </c>
      <c r="P5" s="26" t="n">
        <f aca="false">N5-O5</f>
        <v>-6.33618999999999</v>
      </c>
      <c r="Q5" s="41" t="n">
        <f aca="false">IFERROR(P5/N5,0)</f>
        <v>-0.012200142496318</v>
      </c>
      <c r="R5" s="26" t="n">
        <f aca="false">$M5*(1-INDEX('Vendor Cost Comparison'!$D$7:$D$11,MATCH($C5,'Vendor Cost Comparison'!$A$7:$A$11,0)))+INDEX('Vendor Cost Comparison'!$D$15:$D$17,MATCH($G5,'Vendor Cost Comparison'!$A$15:$A$17,0))</f>
        <v>512.86758</v>
      </c>
      <c r="S5" s="26" t="n">
        <f aca="false">N5-R5</f>
        <v>6.48618999999997</v>
      </c>
      <c r="T5" s="41" t="n">
        <f aca="false">IFERROR(S5/N5,0)</f>
        <v>0.0124889629664188</v>
      </c>
      <c r="U5" s="26" t="n">
        <f aca="false">$M5*(1-INDEX('Vendor Cost Comparison'!$E$7:$E$11,MATCH($C5,'Vendor Cost Comparison'!$A$7:$A$11,0)))+INDEX('Vendor Cost Comparison'!$E$15:$E$17,MATCH($G5,'Vendor Cost Comparison'!$A$15:$A$17,0))</f>
        <v>499.7952</v>
      </c>
      <c r="V5" s="26" t="n">
        <f aca="false">N5-U5</f>
        <v>19.55857</v>
      </c>
      <c r="W5" s="41" t="n">
        <f aca="false">IFERROR(V5/N5,0)</f>
        <v>0.0376594358793237</v>
      </c>
      <c r="X5" s="26" t="n">
        <f aca="false">$M5*(1-INDEX('Vendor Cost Comparison'!$F$7:$F$11,MATCH($C5,'Vendor Cost Comparison'!$A$7:$A$11,0)))+INDEX('Vendor Cost Comparison'!$F$15:$F$17,MATCH($G5,'Vendor Cost Comparison'!$A$15:$A$17,0))</f>
        <v>506.38139</v>
      </c>
      <c r="Y5" s="26" t="n">
        <f aca="false">N5-X5</f>
        <v>12.97238</v>
      </c>
      <c r="Z5" s="41" t="n">
        <f aca="false">IFERROR(Y5/N5,0)</f>
        <v>0.0249779259328376</v>
      </c>
      <c r="AA5" s="44" t="s">
        <v>151</v>
      </c>
      <c r="AB5" s="44" t="s">
        <v>151</v>
      </c>
      <c r="AC5" s="44" t="s">
        <v>151</v>
      </c>
    </row>
    <row r="6" customFormat="false" ht="15" hidden="false" customHeight="false" outlineLevel="0" collapsed="false">
      <c r="A6" s="35" t="s">
        <v>157</v>
      </c>
      <c r="B6" s="35" t="s">
        <v>158</v>
      </c>
      <c r="C6" s="35" t="s">
        <v>71</v>
      </c>
      <c r="D6" s="35" t="s">
        <v>159</v>
      </c>
      <c r="E6" s="35" t="s">
        <v>160</v>
      </c>
      <c r="F6" s="35" t="s">
        <v>142</v>
      </c>
      <c r="G6" s="35" t="s">
        <v>76</v>
      </c>
      <c r="H6" s="35" t="s">
        <v>161</v>
      </c>
      <c r="I6" s="42" t="n">
        <v>46158</v>
      </c>
      <c r="J6" s="43" t="n">
        <v>2.0753</v>
      </c>
      <c r="K6" s="35" t="n">
        <v>30</v>
      </c>
      <c r="L6" s="35" t="n">
        <v>30</v>
      </c>
      <c r="M6" s="26" t="n">
        <f aca="false">J6*K6</f>
        <v>62.259</v>
      </c>
      <c r="N6" s="26" t="n">
        <f aca="false">$M6*(1-INDEX('Vendor Cost Comparison'!$B$7:$B$11,MATCH($C6,'Vendor Cost Comparison'!$A$7:$A$11,0)))+INDEX('Vendor Cost Comparison'!$B$15:$B$17,MATCH($G6,'Vendor Cost Comparison'!$A$15:$A$17,0))</f>
        <v>15.44698</v>
      </c>
      <c r="O6" s="26" t="n">
        <f aca="false">$M6*(1-INDEX('Vendor Cost Comparison'!$C$7:$C$11,MATCH($C6,'Vendor Cost Comparison'!$A$7:$A$11,0)))+INDEX('Vendor Cost Comparison'!$C$15:$C$17,MATCH($G6,'Vendor Cost Comparison'!$A$15:$A$17,0))</f>
        <v>16.79216</v>
      </c>
      <c r="P6" s="26" t="n">
        <f aca="false">N6-O6</f>
        <v>-1.34518</v>
      </c>
      <c r="Q6" s="41" t="n">
        <f aca="false">IFERROR(P6/N6,0)</f>
        <v>-0.0870836888505068</v>
      </c>
      <c r="R6" s="26" t="n">
        <f aca="false">$M6*(1-INDEX('Vendor Cost Comparison'!$D$7:$D$11,MATCH($C6,'Vendor Cost Comparison'!$A$7:$A$11,0)))+INDEX('Vendor Cost Comparison'!$D$15:$D$17,MATCH($G6,'Vendor Cost Comparison'!$A$15:$A$17,0))</f>
        <v>13.9518</v>
      </c>
      <c r="S6" s="26" t="n">
        <f aca="false">N6-R6</f>
        <v>1.49518</v>
      </c>
      <c r="T6" s="41" t="n">
        <f aca="false">IFERROR(S6/N6,0)</f>
        <v>0.0967943248453744</v>
      </c>
      <c r="U6" s="26" t="n">
        <f aca="false">$M6*(1-INDEX('Vendor Cost Comparison'!$E$7:$E$11,MATCH($C6,'Vendor Cost Comparison'!$A$7:$A$11,0)))+INDEX('Vendor Cost Comparison'!$E$15:$E$17,MATCH($G6,'Vendor Cost Comparison'!$A$15:$A$17,0))</f>
        <v>10.86144</v>
      </c>
      <c r="V6" s="26" t="n">
        <f aca="false">N6-U6</f>
        <v>4.58554</v>
      </c>
      <c r="W6" s="41" t="n">
        <f aca="false">IFERROR(V6/N6,0)</f>
        <v>0.296856731866034</v>
      </c>
      <c r="X6" s="26" t="n">
        <f aca="false">$M6*(1-INDEX('Vendor Cost Comparison'!$F$7:$F$11,MATCH($C6,'Vendor Cost Comparison'!$A$7:$A$11,0)))+INDEX('Vendor Cost Comparison'!$F$15:$F$17,MATCH($G6,'Vendor Cost Comparison'!$A$15:$A$17,0))</f>
        <v>12.45662</v>
      </c>
      <c r="Y6" s="26" t="n">
        <f aca="false">N6-X6</f>
        <v>2.99036</v>
      </c>
      <c r="Z6" s="41" t="n">
        <f aca="false">IFERROR(Y6/N6,0)</f>
        <v>0.193588649690748</v>
      </c>
      <c r="AA6" s="44" t="s">
        <v>151</v>
      </c>
      <c r="AB6" s="44" t="s">
        <v>151</v>
      </c>
      <c r="AC6" s="44" t="s">
        <v>151</v>
      </c>
    </row>
    <row r="7" customFormat="false" ht="15" hidden="false" customHeight="false" outlineLevel="0" collapsed="false">
      <c r="A7" s="35" t="s">
        <v>162</v>
      </c>
      <c r="B7" s="35" t="s">
        <v>163</v>
      </c>
      <c r="C7" s="35" t="s">
        <v>71</v>
      </c>
      <c r="D7" s="35" t="s">
        <v>164</v>
      </c>
      <c r="E7" s="35" t="s">
        <v>165</v>
      </c>
      <c r="F7" s="35" t="s">
        <v>142</v>
      </c>
      <c r="G7" s="35" t="s">
        <v>76</v>
      </c>
      <c r="H7" s="35" t="s">
        <v>166</v>
      </c>
      <c r="I7" s="42" t="n">
        <v>46186</v>
      </c>
      <c r="J7" s="43" t="n">
        <v>2.4207</v>
      </c>
      <c r="K7" s="35" t="n">
        <v>30</v>
      </c>
      <c r="L7" s="35" t="n">
        <v>30</v>
      </c>
      <c r="M7" s="26" t="n">
        <f aca="false">J7*K7</f>
        <v>72.621</v>
      </c>
      <c r="N7" s="26" t="n">
        <f aca="false">$M7*(1-INDEX('Vendor Cost Comparison'!$B$7:$B$11,MATCH($C7,'Vendor Cost Comparison'!$A$7:$A$11,0)))+INDEX('Vendor Cost Comparison'!$B$15:$B$17,MATCH($G7,'Vendor Cost Comparison'!$A$15:$A$17,0))</f>
        <v>17.72662</v>
      </c>
      <c r="O7" s="26" t="n">
        <f aca="false">$M7*(1-INDEX('Vendor Cost Comparison'!$C$7:$C$11,MATCH($C7,'Vendor Cost Comparison'!$A$7:$A$11,0)))+INDEX('Vendor Cost Comparison'!$C$15:$C$17,MATCH($G7,'Vendor Cost Comparison'!$A$15:$A$17,0))</f>
        <v>19.27904</v>
      </c>
      <c r="P7" s="26" t="n">
        <f aca="false">N7-O7</f>
        <v>-1.55242</v>
      </c>
      <c r="Q7" s="41" t="n">
        <f aca="false">IFERROR(P7/N7,0)</f>
        <v>-0.0875756348361956</v>
      </c>
      <c r="R7" s="26" t="n">
        <f aca="false">$M7*(1-INDEX('Vendor Cost Comparison'!$D$7:$D$11,MATCH($C7,'Vendor Cost Comparison'!$A$7:$A$11,0)))+INDEX('Vendor Cost Comparison'!$D$15:$D$17,MATCH($G7,'Vendor Cost Comparison'!$A$15:$A$17,0))</f>
        <v>16.0242</v>
      </c>
      <c r="S7" s="26" t="n">
        <f aca="false">N7-R7</f>
        <v>1.70242</v>
      </c>
      <c r="T7" s="41" t="n">
        <f aca="false">IFERROR(S7/N7,0)</f>
        <v>0.0960374848673915</v>
      </c>
      <c r="U7" s="26" t="n">
        <f aca="false">$M7*(1-INDEX('Vendor Cost Comparison'!$E$7:$E$11,MATCH($C7,'Vendor Cost Comparison'!$A$7:$A$11,0)))+INDEX('Vendor Cost Comparison'!$E$15:$E$17,MATCH($G7,'Vendor Cost Comparison'!$A$15:$A$17,0))</f>
        <v>12.51936</v>
      </c>
      <c r="V7" s="26" t="n">
        <f aca="false">N7-U7</f>
        <v>5.20726</v>
      </c>
      <c r="W7" s="41" t="n">
        <f aca="false">IFERROR(V7/N7,0)</f>
        <v>0.293753687956305</v>
      </c>
      <c r="X7" s="26" t="n">
        <f aca="false">$M7*(1-INDEX('Vendor Cost Comparison'!$F$7:$F$11,MATCH($C7,'Vendor Cost Comparison'!$A$7:$A$11,0)))+INDEX('Vendor Cost Comparison'!$F$15:$F$17,MATCH($G7,'Vendor Cost Comparison'!$A$15:$A$17,0))</f>
        <v>14.32178</v>
      </c>
      <c r="Y7" s="26" t="n">
        <f aca="false">N7-X7</f>
        <v>3.40483999999999</v>
      </c>
      <c r="Z7" s="41" t="n">
        <f aca="false">IFERROR(Y7/N7,0)</f>
        <v>0.192074969734783</v>
      </c>
      <c r="AA7" s="44" t="s">
        <v>151</v>
      </c>
      <c r="AB7" s="44" t="s">
        <v>152</v>
      </c>
      <c r="AC7" s="44" t="s">
        <v>151</v>
      </c>
    </row>
    <row r="8" customFormat="false" ht="15" hidden="false" customHeight="false" outlineLevel="0" collapsed="false">
      <c r="A8" s="35" t="s">
        <v>167</v>
      </c>
      <c r="B8" s="35" t="s">
        <v>168</v>
      </c>
      <c r="C8" s="35" t="s">
        <v>71</v>
      </c>
      <c r="D8" s="35" t="s">
        <v>169</v>
      </c>
      <c r="E8" s="35" t="s">
        <v>170</v>
      </c>
      <c r="F8" s="35" t="s">
        <v>142</v>
      </c>
      <c r="G8" s="35" t="s">
        <v>76</v>
      </c>
      <c r="H8" s="35" t="s">
        <v>171</v>
      </c>
      <c r="I8" s="42" t="n">
        <v>45986</v>
      </c>
      <c r="J8" s="43" t="n">
        <v>2.458</v>
      </c>
      <c r="K8" s="35" t="n">
        <v>30</v>
      </c>
      <c r="L8" s="35" t="n">
        <v>30</v>
      </c>
      <c r="M8" s="26" t="n">
        <f aca="false">J8*K8</f>
        <v>73.74</v>
      </c>
      <c r="N8" s="26" t="n">
        <f aca="false">$M8*(1-INDEX('Vendor Cost Comparison'!$B$7:$B$11,MATCH($C8,'Vendor Cost Comparison'!$A$7:$A$11,0)))+INDEX('Vendor Cost Comparison'!$B$15:$B$17,MATCH($G8,'Vendor Cost Comparison'!$A$15:$A$17,0))</f>
        <v>17.9728</v>
      </c>
      <c r="O8" s="26" t="n">
        <f aca="false">$M8*(1-INDEX('Vendor Cost Comparison'!$C$7:$C$11,MATCH($C8,'Vendor Cost Comparison'!$A$7:$A$11,0)))+INDEX('Vendor Cost Comparison'!$C$15:$C$17,MATCH($G8,'Vendor Cost Comparison'!$A$15:$A$17,0))</f>
        <v>19.5476</v>
      </c>
      <c r="P8" s="26" t="n">
        <f aca="false">N8-O8</f>
        <v>-1.5748</v>
      </c>
      <c r="Q8" s="41" t="n">
        <f aca="false">IFERROR(P8/N8,0)</f>
        <v>-0.0876212944004275</v>
      </c>
      <c r="R8" s="26" t="n">
        <f aca="false">$M8*(1-INDEX('Vendor Cost Comparison'!$D$7:$D$11,MATCH($C8,'Vendor Cost Comparison'!$A$7:$A$11,0)))+INDEX('Vendor Cost Comparison'!$D$15:$D$17,MATCH($G8,'Vendor Cost Comparison'!$A$15:$A$17,0))</f>
        <v>16.248</v>
      </c>
      <c r="S8" s="26" t="n">
        <f aca="false">N8-R8</f>
        <v>1.7248</v>
      </c>
      <c r="T8" s="41" t="n">
        <f aca="false">IFERROR(S8/N8,0)</f>
        <v>0.0959672393839581</v>
      </c>
      <c r="U8" s="26" t="n">
        <f aca="false">$M8*(1-INDEX('Vendor Cost Comparison'!$E$7:$E$11,MATCH($C8,'Vendor Cost Comparison'!$A$7:$A$11,0)))+INDEX('Vendor Cost Comparison'!$E$15:$E$17,MATCH($G8,'Vendor Cost Comparison'!$A$15:$A$17,0))</f>
        <v>12.6984</v>
      </c>
      <c r="V8" s="26" t="n">
        <f aca="false">N8-U8</f>
        <v>5.2744</v>
      </c>
      <c r="W8" s="41" t="n">
        <f aca="false">IFERROR(V8/N8,0)</f>
        <v>0.293465681474227</v>
      </c>
      <c r="X8" s="26" t="n">
        <f aca="false">$M8*(1-INDEX('Vendor Cost Comparison'!$F$7:$F$11,MATCH($C8,'Vendor Cost Comparison'!$A$7:$A$11,0)))+INDEX('Vendor Cost Comparison'!$F$15:$F$17,MATCH($G8,'Vendor Cost Comparison'!$A$15:$A$17,0))</f>
        <v>14.5232</v>
      </c>
      <c r="Y8" s="26" t="n">
        <f aca="false">N8-X8</f>
        <v>3.4496</v>
      </c>
      <c r="Z8" s="41" t="n">
        <f aca="false">IFERROR(Y8/N8,0)</f>
        <v>0.191934478767916</v>
      </c>
      <c r="AA8" s="44" t="s">
        <v>151</v>
      </c>
      <c r="AB8" s="44" t="s">
        <v>151</v>
      </c>
      <c r="AC8" s="44" t="s">
        <v>151</v>
      </c>
    </row>
    <row r="9" customFormat="false" ht="15" hidden="false" customHeight="false" outlineLevel="0" collapsed="false">
      <c r="A9" s="35" t="s">
        <v>172</v>
      </c>
      <c r="B9" s="35" t="s">
        <v>173</v>
      </c>
      <c r="C9" s="35" t="s">
        <v>71</v>
      </c>
      <c r="D9" s="35" t="s">
        <v>174</v>
      </c>
      <c r="E9" s="35" t="s">
        <v>175</v>
      </c>
      <c r="F9" s="35" t="s">
        <v>142</v>
      </c>
      <c r="G9" s="35" t="s">
        <v>76</v>
      </c>
      <c r="H9" s="35" t="s">
        <v>176</v>
      </c>
      <c r="I9" s="42" t="n">
        <v>46134</v>
      </c>
      <c r="J9" s="43" t="n">
        <v>0.976</v>
      </c>
      <c r="K9" s="35" t="n">
        <v>30</v>
      </c>
      <c r="L9" s="35" t="n">
        <v>30</v>
      </c>
      <c r="M9" s="26" t="n">
        <f aca="false">J9*K9</f>
        <v>29.28</v>
      </c>
      <c r="N9" s="26" t="n">
        <f aca="false">$M9*(1-INDEX('Vendor Cost Comparison'!$B$7:$B$11,MATCH($C9,'Vendor Cost Comparison'!$A$7:$A$11,0)))+INDEX('Vendor Cost Comparison'!$B$15:$B$17,MATCH($G9,'Vendor Cost Comparison'!$A$15:$A$17,0))</f>
        <v>8.1916</v>
      </c>
      <c r="O9" s="26" t="n">
        <f aca="false">$M9*(1-INDEX('Vendor Cost Comparison'!$C$7:$C$11,MATCH($C9,'Vendor Cost Comparison'!$A$7:$A$11,0)))+INDEX('Vendor Cost Comparison'!$C$15:$C$17,MATCH($G9,'Vendor Cost Comparison'!$A$15:$A$17,0))</f>
        <v>8.8772</v>
      </c>
      <c r="P9" s="26" t="n">
        <f aca="false">N9-O9</f>
        <v>-0.685600000000001</v>
      </c>
      <c r="Q9" s="41" t="n">
        <f aca="false">IFERROR(P9/N9,0)</f>
        <v>-0.0836954929439915</v>
      </c>
      <c r="R9" s="26" t="n">
        <f aca="false">$M9*(1-INDEX('Vendor Cost Comparison'!$D$7:$D$11,MATCH($C9,'Vendor Cost Comparison'!$A$7:$A$11,0)))+INDEX('Vendor Cost Comparison'!$D$15:$D$17,MATCH($G9,'Vendor Cost Comparison'!$A$15:$A$17,0))</f>
        <v>7.356</v>
      </c>
      <c r="S9" s="26" t="n">
        <f aca="false">N9-R9</f>
        <v>0.8356</v>
      </c>
      <c r="T9" s="41" t="n">
        <f aca="false">IFERROR(S9/N9,0)</f>
        <v>0.102006933932321</v>
      </c>
      <c r="U9" s="26" t="n">
        <f aca="false">$M9*(1-INDEX('Vendor Cost Comparison'!$E$7:$E$11,MATCH($C9,'Vendor Cost Comparison'!$A$7:$A$11,0)))+INDEX('Vendor Cost Comparison'!$E$15:$E$17,MATCH($G9,'Vendor Cost Comparison'!$A$15:$A$17,0))</f>
        <v>5.5848</v>
      </c>
      <c r="V9" s="26" t="n">
        <f aca="false">N9-U9</f>
        <v>2.6068</v>
      </c>
      <c r="W9" s="41" t="n">
        <f aca="false">IFERROR(V9/N9,0)</f>
        <v>0.318228429122516</v>
      </c>
      <c r="X9" s="26" t="n">
        <f aca="false">$M9*(1-INDEX('Vendor Cost Comparison'!$F$7:$F$11,MATCH($C9,'Vendor Cost Comparison'!$A$7:$A$11,0)))+INDEX('Vendor Cost Comparison'!$F$15:$F$17,MATCH($G9,'Vendor Cost Comparison'!$A$15:$A$17,0))</f>
        <v>6.5204</v>
      </c>
      <c r="Y9" s="26" t="n">
        <f aca="false">N9-X9</f>
        <v>1.6712</v>
      </c>
      <c r="Z9" s="41" t="n">
        <f aca="false">IFERROR(Y9/N9,0)</f>
        <v>0.204013867864642</v>
      </c>
      <c r="AA9" s="44" t="s">
        <v>151</v>
      </c>
      <c r="AB9" s="44" t="s">
        <v>151</v>
      </c>
      <c r="AC9" s="44" t="s">
        <v>151</v>
      </c>
    </row>
    <row r="10" customFormat="false" ht="15" hidden="false" customHeight="false" outlineLevel="0" collapsed="false">
      <c r="A10" s="35" t="s">
        <v>177</v>
      </c>
      <c r="B10" s="35" t="s">
        <v>178</v>
      </c>
      <c r="C10" s="35" t="s">
        <v>70</v>
      </c>
      <c r="D10" s="35" t="s">
        <v>147</v>
      </c>
      <c r="E10" s="35" t="s">
        <v>179</v>
      </c>
      <c r="F10" s="35" t="s">
        <v>149</v>
      </c>
      <c r="G10" s="35" t="s">
        <v>76</v>
      </c>
      <c r="H10" s="35" t="s">
        <v>171</v>
      </c>
      <c r="I10" s="42" t="n">
        <v>45961</v>
      </c>
      <c r="J10" s="43" t="n">
        <v>20.4057</v>
      </c>
      <c r="K10" s="35" t="n">
        <v>30</v>
      </c>
      <c r="L10" s="35" t="n">
        <v>30</v>
      </c>
      <c r="M10" s="26" t="n">
        <f aca="false">J10*K10</f>
        <v>612.171</v>
      </c>
      <c r="N10" s="26" t="n">
        <f aca="false">$M10*(1-INDEX('Vendor Cost Comparison'!$B$7:$B$11,MATCH($C10,'Vendor Cost Comparison'!$A$7:$A$11,0)))+INDEX('Vendor Cost Comparison'!$B$15:$B$17,MATCH($G10,'Vendor Cost Comparison'!$A$15:$A$17,0))</f>
        <v>509.85193</v>
      </c>
      <c r="O10" s="26" t="n">
        <f aca="false">$M10*(1-INDEX('Vendor Cost Comparison'!$C$7:$C$11,MATCH($C10,'Vendor Cost Comparison'!$A$7:$A$11,0)))+INDEX('Vendor Cost Comparison'!$C$15:$C$17,MATCH($G10,'Vendor Cost Comparison'!$A$15:$A$17,0))</f>
        <v>516.07364</v>
      </c>
      <c r="P10" s="26" t="n">
        <f aca="false">N10-O10</f>
        <v>-6.22171000000003</v>
      </c>
      <c r="Q10" s="41" t="n">
        <f aca="false">IFERROR(P10/N10,0)</f>
        <v>-0.012202974302755</v>
      </c>
      <c r="R10" s="26" t="n">
        <f aca="false">$M10*(1-INDEX('Vendor Cost Comparison'!$D$7:$D$11,MATCH($C10,'Vendor Cost Comparison'!$A$7:$A$11,0)))+INDEX('Vendor Cost Comparison'!$D$15:$D$17,MATCH($G10,'Vendor Cost Comparison'!$A$15:$A$17,0))</f>
        <v>503.48022</v>
      </c>
      <c r="S10" s="26" t="n">
        <f aca="false">N10-R10</f>
        <v>6.37170999999995</v>
      </c>
      <c r="T10" s="41" t="n">
        <f aca="false">IFERROR(S10/N10,0)</f>
        <v>0.0124971773667699</v>
      </c>
      <c r="U10" s="26" t="n">
        <f aca="false">$M10*(1-INDEX('Vendor Cost Comparison'!$E$7:$E$11,MATCH($C10,'Vendor Cost Comparison'!$A$7:$A$11,0)))+INDEX('Vendor Cost Comparison'!$E$15:$E$17,MATCH($G10,'Vendor Cost Comparison'!$A$15:$A$17,0))</f>
        <v>490.6368</v>
      </c>
      <c r="V10" s="26" t="n">
        <f aca="false">N10-U10</f>
        <v>19.21513</v>
      </c>
      <c r="W10" s="41" t="n">
        <f aca="false">IFERROR(V10/N10,0)</f>
        <v>0.03768766747632</v>
      </c>
      <c r="X10" s="26" t="n">
        <f aca="false">$M10*(1-INDEX('Vendor Cost Comparison'!$F$7:$F$11,MATCH($C10,'Vendor Cost Comparison'!$A$7:$A$11,0)))+INDEX('Vendor Cost Comparison'!$F$15:$F$17,MATCH($G10,'Vendor Cost Comparison'!$A$15:$A$17,0))</f>
        <v>497.10851</v>
      </c>
      <c r="Y10" s="26" t="n">
        <f aca="false">N10-X10</f>
        <v>12.74342</v>
      </c>
      <c r="Z10" s="41" t="n">
        <f aca="false">IFERROR(Y10/N10,0)</f>
        <v>0.0249943547335399</v>
      </c>
      <c r="AA10" s="44" t="s">
        <v>151</v>
      </c>
      <c r="AB10" s="44" t="s">
        <v>151</v>
      </c>
      <c r="AC10" s="44" t="s">
        <v>151</v>
      </c>
    </row>
    <row r="11" customFormat="false" ht="15" hidden="false" customHeight="false" outlineLevel="0" collapsed="false">
      <c r="A11" s="35" t="s">
        <v>180</v>
      </c>
      <c r="B11" s="35" t="s">
        <v>181</v>
      </c>
      <c r="C11" s="35" t="s">
        <v>72</v>
      </c>
      <c r="D11" s="35" t="s">
        <v>182</v>
      </c>
      <c r="E11" s="35" t="s">
        <v>183</v>
      </c>
      <c r="F11" s="35" t="s">
        <v>149</v>
      </c>
      <c r="G11" s="35" t="s">
        <v>77</v>
      </c>
      <c r="H11" s="35" t="s">
        <v>143</v>
      </c>
      <c r="I11" s="42" t="n">
        <v>45987</v>
      </c>
      <c r="J11" s="43" t="n">
        <v>12.7673</v>
      </c>
      <c r="K11" s="35" t="n">
        <v>90</v>
      </c>
      <c r="L11" s="35" t="n">
        <v>90</v>
      </c>
      <c r="M11" s="26" t="n">
        <f aca="false">J11*K11</f>
        <v>1149.057</v>
      </c>
      <c r="N11" s="26" t="n">
        <f aca="false">$M11*(1-INDEX('Vendor Cost Comparison'!$B$7:$B$11,MATCH($C11,'Vendor Cost Comparison'!$A$7:$A$11,0)))+INDEX('Vendor Cost Comparison'!$B$15:$B$17,MATCH($G11,'Vendor Cost Comparison'!$A$15:$A$17,0))</f>
        <v>919.4956</v>
      </c>
      <c r="O11" s="26" t="n">
        <f aca="false">$M11*(1-INDEX('Vendor Cost Comparison'!$C$7:$C$11,MATCH($C11,'Vendor Cost Comparison'!$A$7:$A$11,0)))+INDEX('Vendor Cost Comparison'!$C$15:$C$17,MATCH($G11,'Vendor Cost Comparison'!$A$15:$A$17,0))</f>
        <v>931.03617</v>
      </c>
      <c r="P11" s="26" t="n">
        <f aca="false">N11-O11</f>
        <v>-11.54057</v>
      </c>
      <c r="Q11" s="41" t="n">
        <f aca="false">IFERROR(P11/N11,0)</f>
        <v>-0.0125509790367676</v>
      </c>
      <c r="R11" s="26" t="n">
        <f aca="false">$M11*(1-INDEX('Vendor Cost Comparison'!$D$7:$D$11,MATCH($C11,'Vendor Cost Comparison'!$A$7:$A$11,0)))+INDEX('Vendor Cost Comparison'!$D$15:$D$17,MATCH($G11,'Vendor Cost Comparison'!$A$15:$A$17,0))</f>
        <v>907.75503</v>
      </c>
      <c r="S11" s="26" t="n">
        <f aca="false">N11-R11</f>
        <v>11.74057</v>
      </c>
      <c r="T11" s="41" t="n">
        <f aca="false">IFERROR(S11/N11,0)</f>
        <v>0.0127684895936425</v>
      </c>
      <c r="U11" s="26" t="n">
        <f aca="false">$M11*(1-INDEX('Vendor Cost Comparison'!$E$7:$E$11,MATCH($C11,'Vendor Cost Comparison'!$A$7:$A$11,0)))+INDEX('Vendor Cost Comparison'!$E$15:$E$17,MATCH($G11,'Vendor Cost Comparison'!$A$15:$A$17,0))</f>
        <v>873.28332</v>
      </c>
      <c r="V11" s="26" t="n">
        <f aca="false">N11-U11</f>
        <v>46.2122800000001</v>
      </c>
      <c r="W11" s="41" t="n">
        <f aca="false">IFERROR(V11/N11,0)</f>
        <v>0.050258293786289</v>
      </c>
      <c r="X11" s="26" t="n">
        <f aca="false">$M11*(1-INDEX('Vendor Cost Comparison'!$F$7:$F$11,MATCH($C11,'Vendor Cost Comparison'!$A$7:$A$11,0)))+INDEX('Vendor Cost Comparison'!$F$15:$F$17,MATCH($G11,'Vendor Cost Comparison'!$A$15:$A$17,0))</f>
        <v>896.36446</v>
      </c>
      <c r="Y11" s="26" t="n">
        <f aca="false">N11-X11</f>
        <v>23.13114</v>
      </c>
      <c r="Z11" s="41" t="n">
        <f aca="false">IFERROR(Y11/N11,0)</f>
        <v>0.0251563357127538</v>
      </c>
      <c r="AA11" s="44" t="s">
        <v>144</v>
      </c>
      <c r="AB11" s="44" t="s">
        <v>144</v>
      </c>
      <c r="AC11" s="44" t="s">
        <v>144</v>
      </c>
    </row>
    <row r="12" customFormat="false" ht="15" hidden="false" customHeight="false" outlineLevel="0" collapsed="false">
      <c r="A12" s="35" t="s">
        <v>184</v>
      </c>
      <c r="B12" s="35" t="s">
        <v>185</v>
      </c>
      <c r="C12" s="35" t="s">
        <v>72</v>
      </c>
      <c r="D12" s="35" t="s">
        <v>186</v>
      </c>
      <c r="E12" s="35" t="s">
        <v>187</v>
      </c>
      <c r="F12" s="35" t="s">
        <v>149</v>
      </c>
      <c r="G12" s="35" t="s">
        <v>77</v>
      </c>
      <c r="H12" s="35" t="s">
        <v>143</v>
      </c>
      <c r="I12" s="42" t="n">
        <v>46105</v>
      </c>
      <c r="J12" s="43" t="n">
        <v>7.5126</v>
      </c>
      <c r="K12" s="35" t="n">
        <v>90</v>
      </c>
      <c r="L12" s="35" t="n">
        <v>90</v>
      </c>
      <c r="M12" s="26" t="n">
        <f aca="false">J12*K12</f>
        <v>676.134</v>
      </c>
      <c r="N12" s="26" t="n">
        <f aca="false">$M12*(1-INDEX('Vendor Cost Comparison'!$B$7:$B$11,MATCH($C12,'Vendor Cost Comparison'!$A$7:$A$11,0)))+INDEX('Vendor Cost Comparison'!$B$15:$B$17,MATCH($G12,'Vendor Cost Comparison'!$A$15:$A$17,0))</f>
        <v>541.1572</v>
      </c>
      <c r="O12" s="26" t="n">
        <f aca="false">$M12*(1-INDEX('Vendor Cost Comparison'!$C$7:$C$11,MATCH($C12,'Vendor Cost Comparison'!$A$7:$A$11,0)))+INDEX('Vendor Cost Comparison'!$C$15:$C$17,MATCH($G12,'Vendor Cost Comparison'!$A$15:$A$17,0))</f>
        <v>547.96854</v>
      </c>
      <c r="P12" s="26" t="n">
        <f aca="false">N12-O12</f>
        <v>-6.81133999999997</v>
      </c>
      <c r="Q12" s="41" t="n">
        <f aca="false">IFERROR(P12/N12,0)</f>
        <v>-0.0125866199322488</v>
      </c>
      <c r="R12" s="26" t="n">
        <f aca="false">$M12*(1-INDEX('Vendor Cost Comparison'!$D$7:$D$11,MATCH($C12,'Vendor Cost Comparison'!$A$7:$A$11,0)))+INDEX('Vendor Cost Comparison'!$D$15:$D$17,MATCH($G12,'Vendor Cost Comparison'!$A$15:$A$17,0))</f>
        <v>534.14586</v>
      </c>
      <c r="S12" s="26" t="n">
        <f aca="false">N12-R12</f>
        <v>7.01133999999991</v>
      </c>
      <c r="T12" s="41" t="n">
        <f aca="false">IFERROR(S12/N12,0)</f>
        <v>0.012956198309844</v>
      </c>
      <c r="U12" s="26" t="n">
        <f aca="false">$M12*(1-INDEX('Vendor Cost Comparison'!$E$7:$E$11,MATCH($C12,'Vendor Cost Comparison'!$A$7:$A$11,0)))+INDEX('Vendor Cost Comparison'!$E$15:$E$17,MATCH($G12,'Vendor Cost Comparison'!$A$15:$A$17,0))</f>
        <v>513.86184</v>
      </c>
      <c r="V12" s="26" t="n">
        <f aca="false">N12-U12</f>
        <v>27.29536</v>
      </c>
      <c r="W12" s="41" t="n">
        <f aca="false">IFERROR(V12/N12,0)</f>
        <v>0.0504388743233943</v>
      </c>
      <c r="X12" s="26" t="n">
        <f aca="false">$M12*(1-INDEX('Vendor Cost Comparison'!$F$7:$F$11,MATCH($C12,'Vendor Cost Comparison'!$A$7:$A$11,0)))+INDEX('Vendor Cost Comparison'!$F$15:$F$17,MATCH($G12,'Vendor Cost Comparison'!$A$15:$A$17,0))</f>
        <v>527.48452</v>
      </c>
      <c r="Y12" s="26" t="n">
        <f aca="false">N12-X12</f>
        <v>13.6726799999999</v>
      </c>
      <c r="Z12" s="41" t="n">
        <f aca="false">IFERROR(Y12/N12,0)</f>
        <v>0.0252656344588964</v>
      </c>
      <c r="AA12" s="44" t="s">
        <v>144</v>
      </c>
      <c r="AB12" s="44" t="s">
        <v>144</v>
      </c>
      <c r="AC12" s="44" t="s">
        <v>144</v>
      </c>
    </row>
    <row r="13" customFormat="false" ht="15" hidden="false" customHeight="false" outlineLevel="0" collapsed="false">
      <c r="A13" s="35" t="s">
        <v>188</v>
      </c>
      <c r="B13" s="35" t="s">
        <v>189</v>
      </c>
      <c r="C13" s="35" t="s">
        <v>73</v>
      </c>
      <c r="D13" s="35" t="s">
        <v>190</v>
      </c>
      <c r="E13" s="35" t="s">
        <v>191</v>
      </c>
      <c r="F13" s="35" t="s">
        <v>142</v>
      </c>
      <c r="G13" s="35" t="s">
        <v>77</v>
      </c>
      <c r="H13" s="35" t="s">
        <v>143</v>
      </c>
      <c r="I13" s="42" t="n">
        <v>46021</v>
      </c>
      <c r="J13" s="43" t="n">
        <v>2.358</v>
      </c>
      <c r="K13" s="35" t="n">
        <v>90</v>
      </c>
      <c r="L13" s="35" t="n">
        <v>90</v>
      </c>
      <c r="M13" s="26" t="n">
        <f aca="false">J13*K13</f>
        <v>212.22</v>
      </c>
      <c r="N13" s="26" t="n">
        <f aca="false">$M13*(1-INDEX('Vendor Cost Comparison'!$B$7:$B$11,MATCH($C13,'Vendor Cost Comparison'!$A$7:$A$11,0)))+INDEX('Vendor Cost Comparison'!$B$15:$B$17,MATCH($G13,'Vendor Cost Comparison'!$A$15:$A$17,0))</f>
        <v>38.4496</v>
      </c>
      <c r="O13" s="26" t="n">
        <f aca="false">$M13*(1-INDEX('Vendor Cost Comparison'!$C$7:$C$11,MATCH($C13,'Vendor Cost Comparison'!$A$7:$A$11,0)))+INDEX('Vendor Cost Comparison'!$C$15:$C$17,MATCH($G13,'Vendor Cost Comparison'!$A$15:$A$17,0))</f>
        <v>42.744</v>
      </c>
      <c r="P13" s="26" t="n">
        <f aca="false">N13-O13</f>
        <v>-4.29439999999998</v>
      </c>
      <c r="Q13" s="41" t="n">
        <f aca="false">IFERROR(P13/N13,0)</f>
        <v>-0.111689068286796</v>
      </c>
      <c r="R13" s="26" t="n">
        <f aca="false">$M13*(1-INDEX('Vendor Cost Comparison'!$D$7:$D$11,MATCH($C13,'Vendor Cost Comparison'!$A$7:$A$11,0)))+INDEX('Vendor Cost Comparison'!$D$15:$D$17,MATCH($G13,'Vendor Cost Comparison'!$A$15:$A$17,0))</f>
        <v>36.0774</v>
      </c>
      <c r="S13" s="26" t="n">
        <f aca="false">N13-R13</f>
        <v>2.3722</v>
      </c>
      <c r="T13" s="41" t="n">
        <f aca="false">IFERROR(S13/N13,0)</f>
        <v>0.0616963505472098</v>
      </c>
      <c r="U13" s="26" t="n">
        <f aca="false">$M13*(1-INDEX('Vendor Cost Comparison'!$E$7:$E$11,MATCH($C13,'Vendor Cost Comparison'!$A$7:$A$11,0)))+INDEX('Vendor Cost Comparison'!$E$15:$E$17,MATCH($G13,'Vendor Cost Comparison'!$A$15:$A$17,0))</f>
        <v>27.5886</v>
      </c>
      <c r="V13" s="26" t="n">
        <f aca="false">N13-U13</f>
        <v>10.861</v>
      </c>
      <c r="W13" s="41" t="n">
        <f aca="false">IFERROR(V13/N13,0)</f>
        <v>0.28247367983022</v>
      </c>
      <c r="X13" s="26" t="n">
        <f aca="false">$M13*(1-INDEX('Vendor Cost Comparison'!$F$7:$F$11,MATCH($C13,'Vendor Cost Comparison'!$A$7:$A$11,0)))+INDEX('Vendor Cost Comparison'!$F$15:$F$17,MATCH($G13,'Vendor Cost Comparison'!$A$15:$A$17,0))</f>
        <v>31.933</v>
      </c>
      <c r="Y13" s="26" t="n">
        <f aca="false">N13-X13</f>
        <v>6.5166</v>
      </c>
      <c r="Z13" s="41" t="n">
        <f aca="false">IFERROR(Y13/N13,0)</f>
        <v>0.169484207898132</v>
      </c>
      <c r="AA13" s="44" t="s">
        <v>144</v>
      </c>
      <c r="AB13" s="44" t="s">
        <v>144</v>
      </c>
      <c r="AC13" s="44" t="s">
        <v>144</v>
      </c>
    </row>
    <row r="14" customFormat="false" ht="15" hidden="false" customHeight="false" outlineLevel="0" collapsed="false">
      <c r="A14" s="35" t="s">
        <v>192</v>
      </c>
      <c r="B14" s="35" t="s">
        <v>193</v>
      </c>
      <c r="C14" s="35" t="s">
        <v>73</v>
      </c>
      <c r="D14" s="35" t="s">
        <v>194</v>
      </c>
      <c r="E14" s="35" t="s">
        <v>195</v>
      </c>
      <c r="F14" s="35" t="s">
        <v>142</v>
      </c>
      <c r="G14" s="35" t="s">
        <v>77</v>
      </c>
      <c r="H14" s="35" t="s">
        <v>143</v>
      </c>
      <c r="I14" s="42" t="n">
        <v>46056</v>
      </c>
      <c r="J14" s="43" t="n">
        <v>1.3557</v>
      </c>
      <c r="K14" s="35" t="n">
        <v>90</v>
      </c>
      <c r="L14" s="35" t="n">
        <v>90</v>
      </c>
      <c r="M14" s="26" t="n">
        <f aca="false">J14*K14</f>
        <v>122.013</v>
      </c>
      <c r="N14" s="26" t="n">
        <f aca="false">$M14*(1-INDEX('Vendor Cost Comparison'!$B$7:$B$11,MATCH($C14,'Vendor Cost Comparison'!$A$7:$A$11,0)))+INDEX('Vendor Cost Comparison'!$B$15:$B$17,MATCH($G14,'Vendor Cost Comparison'!$A$15:$A$17,0))</f>
        <v>22.21234</v>
      </c>
      <c r="O14" s="26" t="n">
        <f aca="false">$M14*(1-INDEX('Vendor Cost Comparison'!$C$7:$C$11,MATCH($C14,'Vendor Cost Comparison'!$A$7:$A$11,0)))+INDEX('Vendor Cost Comparison'!$C$15:$C$17,MATCH($G14,'Vendor Cost Comparison'!$A$15:$A$17,0))</f>
        <v>24.7026</v>
      </c>
      <c r="P14" s="26" t="n">
        <f aca="false">N14-O14</f>
        <v>-2.49025999999999</v>
      </c>
      <c r="Q14" s="41" t="n">
        <f aca="false">IFERROR(P14/N14,0)</f>
        <v>-0.112111556008957</v>
      </c>
      <c r="R14" s="26" t="n">
        <f aca="false">$M14*(1-INDEX('Vendor Cost Comparison'!$D$7:$D$11,MATCH($C14,'Vendor Cost Comparison'!$A$7:$A$11,0)))+INDEX('Vendor Cost Comparison'!$D$15:$D$17,MATCH($G14,'Vendor Cost Comparison'!$A$15:$A$17,0))</f>
        <v>20.74221</v>
      </c>
      <c r="S14" s="26" t="n">
        <f aca="false">N14-R14</f>
        <v>1.47013</v>
      </c>
      <c r="T14" s="41" t="n">
        <f aca="false">IFERROR(S14/N14,0)</f>
        <v>0.0661852825951701</v>
      </c>
      <c r="U14" s="26" t="n">
        <f aca="false">$M14*(1-INDEX('Vendor Cost Comparison'!$E$7:$E$11,MATCH($C14,'Vendor Cost Comparison'!$A$7:$A$11,0)))+INDEX('Vendor Cost Comparison'!$E$15:$E$17,MATCH($G14,'Vendor Cost Comparison'!$A$15:$A$17,0))</f>
        <v>15.86169</v>
      </c>
      <c r="V14" s="26" t="n">
        <f aca="false">N14-U14</f>
        <v>6.35065000000001</v>
      </c>
      <c r="W14" s="41" t="n">
        <f aca="false">IFERROR(V14/N14,0)</f>
        <v>0.285906392572777</v>
      </c>
      <c r="X14" s="26" t="n">
        <f aca="false">$M14*(1-INDEX('Vendor Cost Comparison'!$F$7:$F$11,MATCH($C14,'Vendor Cost Comparison'!$A$7:$A$11,0)))+INDEX('Vendor Cost Comparison'!$F$15:$F$17,MATCH($G14,'Vendor Cost Comparison'!$A$15:$A$17,0))</f>
        <v>18.40195</v>
      </c>
      <c r="Y14" s="26" t="n">
        <f aca="false">N14-X14</f>
        <v>3.81039</v>
      </c>
      <c r="Z14" s="41" t="n">
        <f aca="false">IFERROR(Y14/N14,0)</f>
        <v>0.171543835543666</v>
      </c>
      <c r="AA14" s="44" t="s">
        <v>144</v>
      </c>
      <c r="AB14" s="44" t="s">
        <v>144</v>
      </c>
      <c r="AC14" s="44" t="s">
        <v>144</v>
      </c>
    </row>
    <row r="15" customFormat="false" ht="15" hidden="false" customHeight="false" outlineLevel="0" collapsed="false">
      <c r="A15" s="35" t="s">
        <v>196</v>
      </c>
      <c r="B15" s="35" t="s">
        <v>197</v>
      </c>
      <c r="C15" s="35" t="s">
        <v>71</v>
      </c>
      <c r="D15" s="35" t="s">
        <v>198</v>
      </c>
      <c r="E15" s="35" t="s">
        <v>199</v>
      </c>
      <c r="F15" s="35" t="s">
        <v>142</v>
      </c>
      <c r="G15" s="35" t="s">
        <v>76</v>
      </c>
      <c r="H15" s="35" t="s">
        <v>200</v>
      </c>
      <c r="I15" s="42" t="n">
        <v>46004</v>
      </c>
      <c r="J15" s="43" t="n">
        <v>0.9527</v>
      </c>
      <c r="K15" s="35" t="n">
        <v>30</v>
      </c>
      <c r="L15" s="35" t="n">
        <v>30</v>
      </c>
      <c r="M15" s="26" t="n">
        <f aca="false">J15*K15</f>
        <v>28.581</v>
      </c>
      <c r="N15" s="26" t="n">
        <f aca="false">$M15*(1-INDEX('Vendor Cost Comparison'!$B$7:$B$11,MATCH($C15,'Vendor Cost Comparison'!$A$7:$A$11,0)))+INDEX('Vendor Cost Comparison'!$B$15:$B$17,MATCH($G15,'Vendor Cost Comparison'!$A$15:$A$17,0))</f>
        <v>8.03782</v>
      </c>
      <c r="O15" s="26" t="n">
        <f aca="false">$M15*(1-INDEX('Vendor Cost Comparison'!$C$7:$C$11,MATCH($C15,'Vendor Cost Comparison'!$A$7:$A$11,0)))+INDEX('Vendor Cost Comparison'!$C$15:$C$17,MATCH($G15,'Vendor Cost Comparison'!$A$15:$A$17,0))</f>
        <v>8.70944</v>
      </c>
      <c r="P15" s="26" t="n">
        <f aca="false">N15-O15</f>
        <v>-0.671619999999999</v>
      </c>
      <c r="Q15" s="41" t="n">
        <f aca="false">IFERROR(P15/N15,0)</f>
        <v>-0.0835574820038268</v>
      </c>
      <c r="R15" s="26" t="n">
        <f aca="false">$M15*(1-INDEX('Vendor Cost Comparison'!$D$7:$D$11,MATCH($C15,'Vendor Cost Comparison'!$A$7:$A$11,0)))+INDEX('Vendor Cost Comparison'!$D$15:$D$17,MATCH($G15,'Vendor Cost Comparison'!$A$15:$A$17,0))</f>
        <v>7.2162</v>
      </c>
      <c r="S15" s="26" t="n">
        <f aca="false">N15-R15</f>
        <v>0.821620000000001</v>
      </c>
      <c r="T15" s="41" t="n">
        <f aca="false">IFERROR(S15/N15,0)</f>
        <v>0.102219258455651</v>
      </c>
      <c r="U15" s="26" t="n">
        <f aca="false">$M15*(1-INDEX('Vendor Cost Comparison'!$E$7:$E$11,MATCH($C15,'Vendor Cost Comparison'!$A$7:$A$11,0)))+INDEX('Vendor Cost Comparison'!$E$15:$E$17,MATCH($G15,'Vendor Cost Comparison'!$A$15:$A$17,0))</f>
        <v>5.47296</v>
      </c>
      <c r="V15" s="26" t="n">
        <f aca="false">N15-U15</f>
        <v>2.56486</v>
      </c>
      <c r="W15" s="41" t="n">
        <f aca="false">IFERROR(V15/N15,0)</f>
        <v>0.319098959668169</v>
      </c>
      <c r="X15" s="26" t="n">
        <f aca="false">$M15*(1-INDEX('Vendor Cost Comparison'!$F$7:$F$11,MATCH($C15,'Vendor Cost Comparison'!$A$7:$A$11,0)))+INDEX('Vendor Cost Comparison'!$F$15:$F$17,MATCH($G15,'Vendor Cost Comparison'!$A$15:$A$17,0))</f>
        <v>6.39458</v>
      </c>
      <c r="Y15" s="26" t="n">
        <f aca="false">N15-X15</f>
        <v>1.64324</v>
      </c>
      <c r="Z15" s="41" t="n">
        <f aca="false">IFERROR(Y15/N15,0)</f>
        <v>0.204438516911302</v>
      </c>
      <c r="AA15" s="44" t="s">
        <v>151</v>
      </c>
      <c r="AB15" s="44" t="s">
        <v>151</v>
      </c>
      <c r="AC15" s="44" t="s">
        <v>151</v>
      </c>
    </row>
    <row r="16" customFormat="false" ht="15" hidden="false" customHeight="false" outlineLevel="0" collapsed="false">
      <c r="A16" s="35" t="s">
        <v>201</v>
      </c>
      <c r="B16" s="35" t="s">
        <v>181</v>
      </c>
      <c r="C16" s="35" t="s">
        <v>73</v>
      </c>
      <c r="D16" s="35" t="s">
        <v>194</v>
      </c>
      <c r="E16" s="35" t="s">
        <v>202</v>
      </c>
      <c r="F16" s="35" t="s">
        <v>142</v>
      </c>
      <c r="G16" s="35" t="s">
        <v>77</v>
      </c>
      <c r="H16" s="35" t="s">
        <v>143</v>
      </c>
      <c r="I16" s="42" t="n">
        <v>46163</v>
      </c>
      <c r="J16" s="43" t="n">
        <v>1.1393</v>
      </c>
      <c r="K16" s="35" t="n">
        <v>90</v>
      </c>
      <c r="L16" s="35" t="n">
        <v>90</v>
      </c>
      <c r="M16" s="26" t="n">
        <f aca="false">J16*K16</f>
        <v>102.537</v>
      </c>
      <c r="N16" s="26" t="n">
        <f aca="false">$M16*(1-INDEX('Vendor Cost Comparison'!$B$7:$B$11,MATCH($C16,'Vendor Cost Comparison'!$A$7:$A$11,0)))+INDEX('Vendor Cost Comparison'!$B$15:$B$17,MATCH($G16,'Vendor Cost Comparison'!$A$15:$A$17,0))</f>
        <v>18.70666</v>
      </c>
      <c r="O16" s="26" t="n">
        <f aca="false">$M16*(1-INDEX('Vendor Cost Comparison'!$C$7:$C$11,MATCH($C16,'Vendor Cost Comparison'!$A$7:$A$11,0)))+INDEX('Vendor Cost Comparison'!$C$15:$C$17,MATCH($G16,'Vendor Cost Comparison'!$A$15:$A$17,0))</f>
        <v>20.8074</v>
      </c>
      <c r="P16" s="26" t="n">
        <f aca="false">N16-O16</f>
        <v>-2.10073999999999</v>
      </c>
      <c r="Q16" s="41" t="n">
        <f aca="false">IFERROR(P16/N16,0)</f>
        <v>-0.112299042159316</v>
      </c>
      <c r="R16" s="26" t="n">
        <f aca="false">$M16*(1-INDEX('Vendor Cost Comparison'!$D$7:$D$11,MATCH($C16,'Vendor Cost Comparison'!$A$7:$A$11,0)))+INDEX('Vendor Cost Comparison'!$D$15:$D$17,MATCH($G16,'Vendor Cost Comparison'!$A$15:$A$17,0))</f>
        <v>17.43129</v>
      </c>
      <c r="S16" s="26" t="n">
        <f aca="false">N16-R16</f>
        <v>1.27537</v>
      </c>
      <c r="T16" s="41" t="n">
        <f aca="false">IFERROR(S16/N16,0)</f>
        <v>0.068177322942738</v>
      </c>
      <c r="U16" s="26" t="n">
        <f aca="false">$M16*(1-INDEX('Vendor Cost Comparison'!$E$7:$E$11,MATCH($C16,'Vendor Cost Comparison'!$A$7:$A$11,0)))+INDEX('Vendor Cost Comparison'!$E$15:$E$17,MATCH($G16,'Vendor Cost Comparison'!$A$15:$A$17,0))</f>
        <v>13.32981</v>
      </c>
      <c r="V16" s="26" t="n">
        <f aca="false">N16-U16</f>
        <v>5.37685</v>
      </c>
      <c r="W16" s="41" t="n">
        <f aca="false">IFERROR(V16/N16,0)</f>
        <v>0.287429717544447</v>
      </c>
      <c r="X16" s="26" t="n">
        <f aca="false">$M16*(1-INDEX('Vendor Cost Comparison'!$F$7:$F$11,MATCH($C16,'Vendor Cost Comparison'!$A$7:$A$11,0)))+INDEX('Vendor Cost Comparison'!$F$15:$F$17,MATCH($G16,'Vendor Cost Comparison'!$A$15:$A$17,0))</f>
        <v>15.48055</v>
      </c>
      <c r="Y16" s="26" t="n">
        <f aca="false">N16-X16</f>
        <v>3.22611</v>
      </c>
      <c r="Z16" s="41" t="n">
        <f aca="false">IFERROR(Y16/N16,0)</f>
        <v>0.172457830526668</v>
      </c>
      <c r="AA16" s="44" t="s">
        <v>144</v>
      </c>
      <c r="AB16" s="44" t="s">
        <v>144</v>
      </c>
      <c r="AC16" s="44" t="s">
        <v>144</v>
      </c>
    </row>
    <row r="17" customFormat="false" ht="15" hidden="false" customHeight="false" outlineLevel="0" collapsed="false">
      <c r="A17" s="35" t="s">
        <v>203</v>
      </c>
      <c r="B17" s="35" t="s">
        <v>204</v>
      </c>
      <c r="C17" s="35" t="s">
        <v>70</v>
      </c>
      <c r="D17" s="35" t="s">
        <v>205</v>
      </c>
      <c r="E17" s="35" t="s">
        <v>206</v>
      </c>
      <c r="F17" s="35" t="s">
        <v>149</v>
      </c>
      <c r="G17" s="35" t="s">
        <v>76</v>
      </c>
      <c r="H17" s="35" t="s">
        <v>171</v>
      </c>
      <c r="I17" s="42" t="n">
        <v>46149</v>
      </c>
      <c r="J17" s="43" t="n">
        <v>17.9473</v>
      </c>
      <c r="K17" s="35" t="n">
        <v>30</v>
      </c>
      <c r="L17" s="35" t="n">
        <v>30</v>
      </c>
      <c r="M17" s="26" t="n">
        <f aca="false">J17*K17</f>
        <v>538.419</v>
      </c>
      <c r="N17" s="26" t="n">
        <f aca="false">$M17*(1-INDEX('Vendor Cost Comparison'!$B$7:$B$11,MATCH($C17,'Vendor Cost Comparison'!$A$7:$A$11,0)))+INDEX('Vendor Cost Comparison'!$B$15:$B$17,MATCH($G17,'Vendor Cost Comparison'!$A$15:$A$17,0))</f>
        <v>448.63777</v>
      </c>
      <c r="O17" s="26" t="n">
        <f aca="false">$M17*(1-INDEX('Vendor Cost Comparison'!$C$7:$C$11,MATCH($C17,'Vendor Cost Comparison'!$A$7:$A$11,0)))+INDEX('Vendor Cost Comparison'!$C$15:$C$17,MATCH($G17,'Vendor Cost Comparison'!$A$15:$A$17,0))</f>
        <v>454.12196</v>
      </c>
      <c r="P17" s="26" t="n">
        <f aca="false">N17-O17</f>
        <v>-5.48419000000001</v>
      </c>
      <c r="Q17" s="41" t="n">
        <f aca="false">IFERROR(P17/N17,0)</f>
        <v>-0.012224093392761</v>
      </c>
      <c r="R17" s="26" t="n">
        <f aca="false">$M17*(1-INDEX('Vendor Cost Comparison'!$D$7:$D$11,MATCH($C17,'Vendor Cost Comparison'!$A$7:$A$11,0)))+INDEX('Vendor Cost Comparison'!$D$15:$D$17,MATCH($G17,'Vendor Cost Comparison'!$A$15:$A$17,0))</f>
        <v>443.00358</v>
      </c>
      <c r="S17" s="26" t="n">
        <f aca="false">N17-R17</f>
        <v>5.63418999999999</v>
      </c>
      <c r="T17" s="41" t="n">
        <f aca="false">IFERROR(S17/N17,0)</f>
        <v>0.0125584388492302</v>
      </c>
      <c r="U17" s="26" t="n">
        <f aca="false">$M17*(1-INDEX('Vendor Cost Comparison'!$E$7:$E$11,MATCH($C17,'Vendor Cost Comparison'!$A$7:$A$11,0)))+INDEX('Vendor Cost Comparison'!$E$15:$E$17,MATCH($G17,'Vendor Cost Comparison'!$A$15:$A$17,0))</f>
        <v>431.6352</v>
      </c>
      <c r="V17" s="26" t="n">
        <f aca="false">N17-U17</f>
        <v>17.00257</v>
      </c>
      <c r="W17" s="41" t="n">
        <f aca="false">IFERROR(V17/N17,0)</f>
        <v>0.0378982135186701</v>
      </c>
      <c r="X17" s="26" t="n">
        <f aca="false">$M17*(1-INDEX('Vendor Cost Comparison'!$F$7:$F$11,MATCH($C17,'Vendor Cost Comparison'!$A$7:$A$11,0)))+INDEX('Vendor Cost Comparison'!$F$15:$F$17,MATCH($G17,'Vendor Cost Comparison'!$A$15:$A$17,0))</f>
        <v>437.36939</v>
      </c>
      <c r="Y17" s="26" t="n">
        <f aca="false">N17-X17</f>
        <v>11.26838</v>
      </c>
      <c r="Z17" s="41" t="n">
        <f aca="false">IFERROR(Y17/N17,0)</f>
        <v>0.0251168776984603</v>
      </c>
      <c r="AA17" s="44" t="s">
        <v>151</v>
      </c>
      <c r="AB17" s="44" t="s">
        <v>151</v>
      </c>
      <c r="AC17" s="44" t="s">
        <v>151</v>
      </c>
    </row>
    <row r="18" customFormat="false" ht="15" hidden="false" customHeight="false" outlineLevel="0" collapsed="false">
      <c r="A18" s="35" t="s">
        <v>207</v>
      </c>
      <c r="B18" s="35" t="s">
        <v>208</v>
      </c>
      <c r="C18" s="35" t="s">
        <v>70</v>
      </c>
      <c r="D18" s="35" t="s">
        <v>205</v>
      </c>
      <c r="E18" s="35" t="s">
        <v>209</v>
      </c>
      <c r="F18" s="35" t="s">
        <v>149</v>
      </c>
      <c r="G18" s="35" t="s">
        <v>76</v>
      </c>
      <c r="H18" s="35" t="s">
        <v>171</v>
      </c>
      <c r="I18" s="42" t="n">
        <v>46160</v>
      </c>
      <c r="J18" s="43" t="n">
        <v>14.6147</v>
      </c>
      <c r="K18" s="35" t="n">
        <v>30</v>
      </c>
      <c r="L18" s="35" t="n">
        <v>30</v>
      </c>
      <c r="M18" s="26" t="n">
        <f aca="false">J18*K18</f>
        <v>438.441</v>
      </c>
      <c r="N18" s="26" t="n">
        <f aca="false">$M18*(1-INDEX('Vendor Cost Comparison'!$B$7:$B$11,MATCH($C18,'Vendor Cost Comparison'!$A$7:$A$11,0)))+INDEX('Vendor Cost Comparison'!$B$15:$B$17,MATCH($G18,'Vendor Cost Comparison'!$A$15:$A$17,0))</f>
        <v>365.65603</v>
      </c>
      <c r="O18" s="26" t="n">
        <f aca="false">$M18*(1-INDEX('Vendor Cost Comparison'!$C$7:$C$11,MATCH($C18,'Vendor Cost Comparison'!$A$7:$A$11,0)))+INDEX('Vendor Cost Comparison'!$C$15:$C$17,MATCH($G18,'Vendor Cost Comparison'!$A$15:$A$17,0))</f>
        <v>370.14044</v>
      </c>
      <c r="P18" s="26" t="n">
        <f aca="false">N18-O18</f>
        <v>-4.48441000000003</v>
      </c>
      <c r="Q18" s="41" t="n">
        <f aca="false">IFERROR(P18/N18,0)</f>
        <v>-0.0122640121646566</v>
      </c>
      <c r="R18" s="26" t="n">
        <f aca="false">$M18*(1-INDEX('Vendor Cost Comparison'!$D$7:$D$11,MATCH($C18,'Vendor Cost Comparison'!$A$7:$A$11,0)))+INDEX('Vendor Cost Comparison'!$D$15:$D$17,MATCH($G18,'Vendor Cost Comparison'!$A$15:$A$17,0))</f>
        <v>361.02162</v>
      </c>
      <c r="S18" s="26" t="n">
        <f aca="false">N18-R18</f>
        <v>4.63441</v>
      </c>
      <c r="T18" s="41" t="n">
        <f aca="false">IFERROR(S18/N18,0)</f>
        <v>0.0126742337600723</v>
      </c>
      <c r="U18" s="26" t="n">
        <f aca="false">$M18*(1-INDEX('Vendor Cost Comparison'!$E$7:$E$11,MATCH($C18,'Vendor Cost Comparison'!$A$7:$A$11,0)))+INDEX('Vendor Cost Comparison'!$E$15:$E$17,MATCH($G18,'Vendor Cost Comparison'!$A$15:$A$17,0))</f>
        <v>351.6528</v>
      </c>
      <c r="V18" s="26" t="n">
        <f aca="false">N18-U18</f>
        <v>14.00323</v>
      </c>
      <c r="W18" s="41" t="n">
        <f aca="false">IFERROR(V18/N18,0)</f>
        <v>0.0382961823438274</v>
      </c>
      <c r="X18" s="26" t="n">
        <f aca="false">$M18*(1-INDEX('Vendor Cost Comparison'!$F$7:$F$11,MATCH($C18,'Vendor Cost Comparison'!$A$7:$A$11,0)))+INDEX('Vendor Cost Comparison'!$F$15:$F$17,MATCH($G18,'Vendor Cost Comparison'!$A$15:$A$17,0))</f>
        <v>356.38721</v>
      </c>
      <c r="Y18" s="26" t="n">
        <f aca="false">N18-X18</f>
        <v>9.26882000000001</v>
      </c>
      <c r="Z18" s="41" t="n">
        <f aca="false">IFERROR(Y18/N18,0)</f>
        <v>0.0253484675201446</v>
      </c>
      <c r="AA18" s="44" t="s">
        <v>151</v>
      </c>
      <c r="AB18" s="44" t="s">
        <v>151</v>
      </c>
      <c r="AC18" s="44" t="s">
        <v>151</v>
      </c>
    </row>
    <row r="19" customFormat="false" ht="15" hidden="false" customHeight="false" outlineLevel="0" collapsed="false">
      <c r="A19" s="35" t="s">
        <v>210</v>
      </c>
      <c r="B19" s="35" t="s">
        <v>211</v>
      </c>
      <c r="C19" s="35" t="s">
        <v>71</v>
      </c>
      <c r="D19" s="35" t="s">
        <v>174</v>
      </c>
      <c r="E19" s="35" t="s">
        <v>212</v>
      </c>
      <c r="F19" s="35" t="s">
        <v>142</v>
      </c>
      <c r="G19" s="35" t="s">
        <v>76</v>
      </c>
      <c r="H19" s="35" t="s">
        <v>150</v>
      </c>
      <c r="I19" s="42" t="n">
        <v>45911</v>
      </c>
      <c r="J19" s="43" t="n">
        <v>1.5587</v>
      </c>
      <c r="K19" s="35" t="n">
        <v>30</v>
      </c>
      <c r="L19" s="35" t="n">
        <v>30</v>
      </c>
      <c r="M19" s="26" t="n">
        <f aca="false">J19*K19</f>
        <v>46.761</v>
      </c>
      <c r="N19" s="26" t="n">
        <f aca="false">$M19*(1-INDEX('Vendor Cost Comparison'!$B$7:$B$11,MATCH($C19,'Vendor Cost Comparison'!$A$7:$A$11,0)))+INDEX('Vendor Cost Comparison'!$B$15:$B$17,MATCH($G19,'Vendor Cost Comparison'!$A$15:$A$17,0))</f>
        <v>12.03742</v>
      </c>
      <c r="O19" s="26" t="n">
        <f aca="false">$M19*(1-INDEX('Vendor Cost Comparison'!$C$7:$C$11,MATCH($C19,'Vendor Cost Comparison'!$A$7:$A$11,0)))+INDEX('Vendor Cost Comparison'!$C$15:$C$17,MATCH($G19,'Vendor Cost Comparison'!$A$15:$A$17,0))</f>
        <v>13.07264</v>
      </c>
      <c r="P19" s="26" t="n">
        <f aca="false">N19-O19</f>
        <v>-1.03522</v>
      </c>
      <c r="Q19" s="41" t="n">
        <f aca="false">IFERROR(P19/N19,0)</f>
        <v>-0.0860001561796465</v>
      </c>
      <c r="R19" s="26" t="n">
        <f aca="false">$M19*(1-INDEX('Vendor Cost Comparison'!$D$7:$D$11,MATCH($C19,'Vendor Cost Comparison'!$A$7:$A$11,0)))+INDEX('Vendor Cost Comparison'!$D$15:$D$17,MATCH($G19,'Vendor Cost Comparison'!$A$15:$A$17,0))</f>
        <v>10.8522</v>
      </c>
      <c r="S19" s="26" t="n">
        <f aca="false">N19-R19</f>
        <v>1.18522</v>
      </c>
      <c r="T19" s="41" t="n">
        <f aca="false">IFERROR(S19/N19,0)</f>
        <v>0.0984612981851594</v>
      </c>
      <c r="U19" s="26" t="n">
        <f aca="false">$M19*(1-INDEX('Vendor Cost Comparison'!$E$7:$E$11,MATCH($C19,'Vendor Cost Comparison'!$A$7:$A$11,0)))+INDEX('Vendor Cost Comparison'!$E$15:$E$17,MATCH($G19,'Vendor Cost Comparison'!$A$15:$A$17,0))</f>
        <v>8.38176</v>
      </c>
      <c r="V19" s="26" t="n">
        <f aca="false">N19-U19</f>
        <v>3.65566</v>
      </c>
      <c r="W19" s="41" t="n">
        <f aca="false">IFERROR(V19/N19,0)</f>
        <v>0.303691322559153</v>
      </c>
      <c r="X19" s="26" t="n">
        <f aca="false">$M19*(1-INDEX('Vendor Cost Comparison'!$F$7:$F$11,MATCH($C19,'Vendor Cost Comparison'!$A$7:$A$11,0)))+INDEX('Vendor Cost Comparison'!$F$15:$F$17,MATCH($G19,'Vendor Cost Comparison'!$A$15:$A$17,0))</f>
        <v>9.66698</v>
      </c>
      <c r="Y19" s="26" t="n">
        <f aca="false">N19-X19</f>
        <v>2.37044</v>
      </c>
      <c r="Z19" s="41" t="n">
        <f aca="false">IFERROR(Y19/N19,0)</f>
        <v>0.196922596370318</v>
      </c>
      <c r="AA19" s="44" t="s">
        <v>151</v>
      </c>
      <c r="AB19" s="44" t="s">
        <v>151</v>
      </c>
      <c r="AC19" s="44" t="s">
        <v>152</v>
      </c>
    </row>
    <row r="20" customFormat="false" ht="15" hidden="false" customHeight="false" outlineLevel="0" collapsed="false">
      <c r="A20" s="35" t="s">
        <v>213</v>
      </c>
      <c r="B20" s="35" t="s">
        <v>214</v>
      </c>
      <c r="C20" s="35" t="s">
        <v>74</v>
      </c>
      <c r="D20" s="35" t="s">
        <v>215</v>
      </c>
      <c r="E20" s="35" t="s">
        <v>216</v>
      </c>
      <c r="F20" s="35" t="s">
        <v>149</v>
      </c>
      <c r="G20" s="35" t="s">
        <v>78</v>
      </c>
      <c r="H20" s="35" t="s">
        <v>217</v>
      </c>
      <c r="I20" s="42" t="n">
        <v>46125</v>
      </c>
      <c r="J20" s="43" t="n">
        <v>6458.9</v>
      </c>
      <c r="K20" s="35" t="n">
        <v>1</v>
      </c>
      <c r="L20" s="35" t="n">
        <v>30</v>
      </c>
      <c r="M20" s="26" t="n">
        <f aca="false">J20*K20</f>
        <v>6458.9</v>
      </c>
      <c r="N20" s="26" t="n">
        <f aca="false">$M20*(1-INDEX('Vendor Cost Comparison'!$B$7:$B$11,MATCH($C20,'Vendor Cost Comparison'!$A$7:$A$11,0)))+INDEX('Vendor Cost Comparison'!$B$15:$B$17,MATCH($G20,'Vendor Cost Comparison'!$A$15:$A$17,0))</f>
        <v>5490.065</v>
      </c>
      <c r="O20" s="26" t="n">
        <f aca="false">$M20*(1-INDEX('Vendor Cost Comparison'!$C$7:$C$11,MATCH($C20,'Vendor Cost Comparison'!$A$7:$A$11,0)))+INDEX('Vendor Cost Comparison'!$C$15:$C$17,MATCH($G20,'Vendor Cost Comparison'!$A$15:$A$17,0))</f>
        <v>5554.654</v>
      </c>
      <c r="P20" s="26" t="n">
        <f aca="false">N20-O20</f>
        <v>-64.5889999999999</v>
      </c>
      <c r="Q20" s="41" t="n">
        <f aca="false">IFERROR(P20/N20,0)</f>
        <v>-0.0117647058823529</v>
      </c>
      <c r="R20" s="26" t="n">
        <f aca="false">$M20*(1-INDEX('Vendor Cost Comparison'!$D$7:$D$11,MATCH($C20,'Vendor Cost Comparison'!$A$7:$A$11,0)))+INDEX('Vendor Cost Comparison'!$D$15:$D$17,MATCH($G20,'Vendor Cost Comparison'!$A$15:$A$17,0))</f>
        <v>5425.476</v>
      </c>
      <c r="S20" s="26" t="n">
        <f aca="false">N20-R20</f>
        <v>64.5889999999999</v>
      </c>
      <c r="T20" s="41" t="n">
        <f aca="false">IFERROR(S20/N20,0)</f>
        <v>0.0117647058823529</v>
      </c>
      <c r="U20" s="26" t="n">
        <f aca="false">$M20*(1-INDEX('Vendor Cost Comparison'!$E$7:$E$11,MATCH($C20,'Vendor Cost Comparison'!$A$7:$A$11,0)))+INDEX('Vendor Cost Comparison'!$E$15:$E$17,MATCH($G20,'Vendor Cost Comparison'!$A$15:$A$17,0))</f>
        <v>5360.887</v>
      </c>
      <c r="V20" s="26" t="n">
        <f aca="false">N20-U20</f>
        <v>129.178</v>
      </c>
      <c r="W20" s="41" t="n">
        <f aca="false">IFERROR(V20/N20,0)</f>
        <v>0.0235294117647059</v>
      </c>
      <c r="X20" s="26" t="n">
        <f aca="false">$M20*(1-INDEX('Vendor Cost Comparison'!$F$7:$F$11,MATCH($C20,'Vendor Cost Comparison'!$A$7:$A$11,0)))+INDEX('Vendor Cost Comparison'!$F$15:$F$17,MATCH($G20,'Vendor Cost Comparison'!$A$15:$A$17,0))</f>
        <v>5167.12</v>
      </c>
      <c r="Y20" s="26" t="n">
        <f aca="false">N20-X20</f>
        <v>322.945</v>
      </c>
      <c r="Z20" s="41" t="n">
        <f aca="false">IFERROR(Y20/N20,0)</f>
        <v>0.0588235294117647</v>
      </c>
      <c r="AA20" s="44" t="s">
        <v>144</v>
      </c>
      <c r="AB20" s="44" t="s">
        <v>144</v>
      </c>
      <c r="AC20" s="44" t="s">
        <v>144</v>
      </c>
    </row>
    <row r="21" customFormat="false" ht="15" hidden="false" customHeight="false" outlineLevel="0" collapsed="false">
      <c r="A21" s="35" t="s">
        <v>218</v>
      </c>
      <c r="B21" s="35" t="s">
        <v>219</v>
      </c>
      <c r="C21" s="35" t="s">
        <v>71</v>
      </c>
      <c r="D21" s="35" t="s">
        <v>198</v>
      </c>
      <c r="E21" s="35" t="s">
        <v>220</v>
      </c>
      <c r="F21" s="35" t="s">
        <v>142</v>
      </c>
      <c r="G21" s="35" t="s">
        <v>76</v>
      </c>
      <c r="H21" s="35" t="s">
        <v>166</v>
      </c>
      <c r="I21" s="42" t="n">
        <v>46181</v>
      </c>
      <c r="J21" s="43" t="n">
        <v>0.5893</v>
      </c>
      <c r="K21" s="35" t="n">
        <v>30</v>
      </c>
      <c r="L21" s="35" t="n">
        <v>30</v>
      </c>
      <c r="M21" s="26" t="n">
        <f aca="false">J21*K21</f>
        <v>17.679</v>
      </c>
      <c r="N21" s="26" t="n">
        <f aca="false">$M21*(1-INDEX('Vendor Cost Comparison'!$B$7:$B$11,MATCH($C21,'Vendor Cost Comparison'!$A$7:$A$11,0)))+INDEX('Vendor Cost Comparison'!$B$15:$B$17,MATCH($G21,'Vendor Cost Comparison'!$A$15:$A$17,0))</f>
        <v>5.63938</v>
      </c>
      <c r="O21" s="26" t="n">
        <f aca="false">$M21*(1-INDEX('Vendor Cost Comparison'!$C$7:$C$11,MATCH($C21,'Vendor Cost Comparison'!$A$7:$A$11,0)))+INDEX('Vendor Cost Comparison'!$C$15:$C$17,MATCH($G21,'Vendor Cost Comparison'!$A$15:$A$17,0))</f>
        <v>6.09296</v>
      </c>
      <c r="P21" s="26" t="n">
        <f aca="false">N21-O21</f>
        <v>-0.45358</v>
      </c>
      <c r="Q21" s="41" t="n">
        <f aca="false">IFERROR(P21/N21,0)</f>
        <v>-0.080430827502314</v>
      </c>
      <c r="R21" s="26" t="n">
        <f aca="false">$M21*(1-INDEX('Vendor Cost Comparison'!$D$7:$D$11,MATCH($C21,'Vendor Cost Comparison'!$A$7:$A$11,0)))+INDEX('Vendor Cost Comparison'!$D$15:$D$17,MATCH($G21,'Vendor Cost Comparison'!$A$15:$A$17,0))</f>
        <v>5.0358</v>
      </c>
      <c r="S21" s="26" t="n">
        <f aca="false">N21-R21</f>
        <v>0.60358</v>
      </c>
      <c r="T21" s="41" t="n">
        <f aca="false">IFERROR(S21/N21,0)</f>
        <v>0.107029496150286</v>
      </c>
      <c r="U21" s="26" t="n">
        <f aca="false">$M21*(1-INDEX('Vendor Cost Comparison'!$E$7:$E$11,MATCH($C21,'Vendor Cost Comparison'!$A$7:$A$11,0)))+INDEX('Vendor Cost Comparison'!$E$15:$E$17,MATCH($G21,'Vendor Cost Comparison'!$A$15:$A$17,0))</f>
        <v>3.72864</v>
      </c>
      <c r="V21" s="26" t="n">
        <f aca="false">N21-U21</f>
        <v>1.91074</v>
      </c>
      <c r="W21" s="41" t="n">
        <f aca="false">IFERROR(V21/N21,0)</f>
        <v>0.338820934216173</v>
      </c>
      <c r="X21" s="26" t="n">
        <f aca="false">$M21*(1-INDEX('Vendor Cost Comparison'!$F$7:$F$11,MATCH($C21,'Vendor Cost Comparison'!$A$7:$A$11,0)))+INDEX('Vendor Cost Comparison'!$F$15:$F$17,MATCH($G21,'Vendor Cost Comparison'!$A$15:$A$17,0))</f>
        <v>4.43222</v>
      </c>
      <c r="Y21" s="26" t="n">
        <f aca="false">N21-X21</f>
        <v>1.20716</v>
      </c>
      <c r="Z21" s="41" t="n">
        <f aca="false">IFERROR(Y21/N21,0)</f>
        <v>0.214058992300572</v>
      </c>
      <c r="AA21" s="44" t="s">
        <v>151</v>
      </c>
      <c r="AB21" s="44" t="s">
        <v>152</v>
      </c>
      <c r="AC21" s="44" t="s">
        <v>151</v>
      </c>
    </row>
    <row r="22" customFormat="false" ht="15" hidden="false" customHeight="false" outlineLevel="0" collapsed="false">
      <c r="A22" s="35" t="s">
        <v>221</v>
      </c>
      <c r="B22" s="35" t="s">
        <v>222</v>
      </c>
      <c r="C22" s="35" t="s">
        <v>71</v>
      </c>
      <c r="D22" s="35" t="s">
        <v>198</v>
      </c>
      <c r="E22" s="35" t="s">
        <v>223</v>
      </c>
      <c r="F22" s="35" t="s">
        <v>142</v>
      </c>
      <c r="G22" s="35" t="s">
        <v>76</v>
      </c>
      <c r="H22" s="35" t="s">
        <v>150</v>
      </c>
      <c r="I22" s="42" t="n">
        <v>46107</v>
      </c>
      <c r="J22" s="43" t="n">
        <v>1.235</v>
      </c>
      <c r="K22" s="35" t="n">
        <v>30</v>
      </c>
      <c r="L22" s="35" t="n">
        <v>30</v>
      </c>
      <c r="M22" s="26" t="n">
        <f aca="false">J22*K22</f>
        <v>37.05</v>
      </c>
      <c r="N22" s="26" t="n">
        <f aca="false">$M22*(1-INDEX('Vendor Cost Comparison'!$B$7:$B$11,MATCH($C22,'Vendor Cost Comparison'!$A$7:$A$11,0)))+INDEX('Vendor Cost Comparison'!$B$15:$B$17,MATCH($G22,'Vendor Cost Comparison'!$A$15:$A$17,0))</f>
        <v>9.901</v>
      </c>
      <c r="O22" s="26" t="n">
        <f aca="false">$M22*(1-INDEX('Vendor Cost Comparison'!$C$7:$C$11,MATCH($C22,'Vendor Cost Comparison'!$A$7:$A$11,0)))+INDEX('Vendor Cost Comparison'!$C$15:$C$17,MATCH($G22,'Vendor Cost Comparison'!$A$15:$A$17,0))</f>
        <v>10.742</v>
      </c>
      <c r="P22" s="26" t="n">
        <f aca="false">N22-O22</f>
        <v>-0.841000000000001</v>
      </c>
      <c r="Q22" s="41" t="n">
        <f aca="false">IFERROR(P22/N22,0)</f>
        <v>-0.0849409150590851</v>
      </c>
      <c r="R22" s="26" t="n">
        <f aca="false">$M22*(1-INDEX('Vendor Cost Comparison'!$D$7:$D$11,MATCH($C22,'Vendor Cost Comparison'!$A$7:$A$11,0)))+INDEX('Vendor Cost Comparison'!$D$15:$D$17,MATCH($G22,'Vendor Cost Comparison'!$A$15:$A$17,0))</f>
        <v>8.91</v>
      </c>
      <c r="S22" s="26" t="n">
        <f aca="false">N22-R22</f>
        <v>0.991</v>
      </c>
      <c r="T22" s="41" t="n">
        <f aca="false">IFERROR(S22/N22,0)</f>
        <v>0.1000908999091</v>
      </c>
      <c r="U22" s="26" t="n">
        <f aca="false">$M22*(1-INDEX('Vendor Cost Comparison'!$E$7:$E$11,MATCH($C22,'Vendor Cost Comparison'!$A$7:$A$11,0)))+INDEX('Vendor Cost Comparison'!$E$15:$E$17,MATCH($G22,'Vendor Cost Comparison'!$A$15:$A$17,0))</f>
        <v>6.828</v>
      </c>
      <c r="V22" s="26" t="n">
        <f aca="false">N22-U22</f>
        <v>3.073</v>
      </c>
      <c r="W22" s="41" t="n">
        <f aca="false">IFERROR(V22/N22,0)</f>
        <v>0.31037268962731</v>
      </c>
      <c r="X22" s="26" t="n">
        <f aca="false">$M22*(1-INDEX('Vendor Cost Comparison'!$F$7:$F$11,MATCH($C22,'Vendor Cost Comparison'!$A$7:$A$11,0)))+INDEX('Vendor Cost Comparison'!$F$15:$F$17,MATCH($G22,'Vendor Cost Comparison'!$A$15:$A$17,0))</f>
        <v>7.919</v>
      </c>
      <c r="Y22" s="26" t="n">
        <f aca="false">N22-X22</f>
        <v>1.982</v>
      </c>
      <c r="Z22" s="41" t="n">
        <f aca="false">IFERROR(Y22/N22,0)</f>
        <v>0.2001817998182</v>
      </c>
      <c r="AA22" s="44" t="s">
        <v>151</v>
      </c>
      <c r="AB22" s="44" t="s">
        <v>151</v>
      </c>
      <c r="AC22" s="44" t="s">
        <v>152</v>
      </c>
    </row>
    <row r="23" customFormat="false" ht="15" hidden="false" customHeight="false" outlineLevel="0" collapsed="false">
      <c r="A23" s="35" t="s">
        <v>224</v>
      </c>
      <c r="B23" s="35" t="s">
        <v>225</v>
      </c>
      <c r="C23" s="35" t="s">
        <v>71</v>
      </c>
      <c r="D23" s="35" t="s">
        <v>198</v>
      </c>
      <c r="E23" s="35" t="s">
        <v>226</v>
      </c>
      <c r="F23" s="35" t="s">
        <v>142</v>
      </c>
      <c r="G23" s="35" t="s">
        <v>76</v>
      </c>
      <c r="H23" s="35" t="s">
        <v>200</v>
      </c>
      <c r="I23" s="42" t="n">
        <v>46170</v>
      </c>
      <c r="J23" s="43" t="n">
        <v>1.7033</v>
      </c>
      <c r="K23" s="35" t="n">
        <v>30</v>
      </c>
      <c r="L23" s="35" t="n">
        <v>30</v>
      </c>
      <c r="M23" s="26" t="n">
        <f aca="false">J23*K23</f>
        <v>51.099</v>
      </c>
      <c r="N23" s="26" t="n">
        <f aca="false">$M23*(1-INDEX('Vendor Cost Comparison'!$B$7:$B$11,MATCH($C23,'Vendor Cost Comparison'!$A$7:$A$11,0)))+INDEX('Vendor Cost Comparison'!$B$15:$B$17,MATCH($G23,'Vendor Cost Comparison'!$A$15:$A$17,0))</f>
        <v>12.99178</v>
      </c>
      <c r="O23" s="26" t="n">
        <f aca="false">$M23*(1-INDEX('Vendor Cost Comparison'!$C$7:$C$11,MATCH($C23,'Vendor Cost Comparison'!$A$7:$A$11,0)))+INDEX('Vendor Cost Comparison'!$C$15:$C$17,MATCH($G23,'Vendor Cost Comparison'!$A$15:$A$17,0))</f>
        <v>14.11376</v>
      </c>
      <c r="P23" s="26" t="n">
        <f aca="false">N23-O23</f>
        <v>-1.12198</v>
      </c>
      <c r="Q23" s="41" t="n">
        <f aca="false">IFERROR(P23/N23,0)</f>
        <v>-0.0863607604192806</v>
      </c>
      <c r="R23" s="26" t="n">
        <f aca="false">$M23*(1-INDEX('Vendor Cost Comparison'!$D$7:$D$11,MATCH($C23,'Vendor Cost Comparison'!$A$7:$A$11,0)))+INDEX('Vendor Cost Comparison'!$D$15:$D$17,MATCH($G23,'Vendor Cost Comparison'!$A$15:$A$17,0))</f>
        <v>11.7198</v>
      </c>
      <c r="S23" s="26" t="n">
        <f aca="false">N23-R23</f>
        <v>1.27198</v>
      </c>
      <c r="T23" s="41" t="n">
        <f aca="false">IFERROR(S23/N23,0)</f>
        <v>0.0979065224318762</v>
      </c>
      <c r="U23" s="26" t="n">
        <f aca="false">$M23*(1-INDEX('Vendor Cost Comparison'!$E$7:$E$11,MATCH($C23,'Vendor Cost Comparison'!$A$7:$A$11,0)))+INDEX('Vendor Cost Comparison'!$E$15:$E$17,MATCH($G23,'Vendor Cost Comparison'!$A$15:$A$17,0))</f>
        <v>9.07584</v>
      </c>
      <c r="V23" s="26" t="n">
        <f aca="false">N23-U23</f>
        <v>3.91594</v>
      </c>
      <c r="W23" s="41" t="n">
        <f aca="false">IFERROR(V23/N23,0)</f>
        <v>0.301416741970692</v>
      </c>
      <c r="X23" s="26" t="n">
        <f aca="false">$M23*(1-INDEX('Vendor Cost Comparison'!$F$7:$F$11,MATCH($C23,'Vendor Cost Comparison'!$A$7:$A$11,0)))+INDEX('Vendor Cost Comparison'!$F$15:$F$17,MATCH($G23,'Vendor Cost Comparison'!$A$15:$A$17,0))</f>
        <v>10.44782</v>
      </c>
      <c r="Y23" s="26" t="n">
        <f aca="false">N23-X23</f>
        <v>2.54396</v>
      </c>
      <c r="Z23" s="41" t="n">
        <f aca="false">IFERROR(Y23/N23,0)</f>
        <v>0.195813044863752</v>
      </c>
      <c r="AA23" s="44" t="s">
        <v>151</v>
      </c>
      <c r="AB23" s="44" t="s">
        <v>151</v>
      </c>
      <c r="AC23" s="44" t="s">
        <v>151</v>
      </c>
    </row>
    <row r="24" customFormat="false" ht="15" hidden="false" customHeight="false" outlineLevel="0" collapsed="false">
      <c r="A24" s="35" t="s">
        <v>227</v>
      </c>
      <c r="B24" s="35" t="s">
        <v>228</v>
      </c>
      <c r="C24" s="35" t="s">
        <v>70</v>
      </c>
      <c r="D24" s="35" t="s">
        <v>229</v>
      </c>
      <c r="E24" s="35" t="s">
        <v>230</v>
      </c>
      <c r="F24" s="35" t="s">
        <v>149</v>
      </c>
      <c r="G24" s="35" t="s">
        <v>76</v>
      </c>
      <c r="H24" s="35" t="s">
        <v>171</v>
      </c>
      <c r="I24" s="42" t="n">
        <v>45887</v>
      </c>
      <c r="J24" s="43" t="n">
        <v>13.979</v>
      </c>
      <c r="K24" s="35" t="n">
        <v>30</v>
      </c>
      <c r="L24" s="35" t="n">
        <v>30</v>
      </c>
      <c r="M24" s="26" t="n">
        <f aca="false">J24*K24</f>
        <v>419.37</v>
      </c>
      <c r="N24" s="26" t="n">
        <f aca="false">$M24*(1-INDEX('Vendor Cost Comparison'!$B$7:$B$11,MATCH($C24,'Vendor Cost Comparison'!$A$7:$A$11,0)))+INDEX('Vendor Cost Comparison'!$B$15:$B$17,MATCH($G24,'Vendor Cost Comparison'!$A$15:$A$17,0))</f>
        <v>349.8271</v>
      </c>
      <c r="O24" s="26" t="n">
        <f aca="false">$M24*(1-INDEX('Vendor Cost Comparison'!$C$7:$C$11,MATCH($C24,'Vendor Cost Comparison'!$A$7:$A$11,0)))+INDEX('Vendor Cost Comparison'!$C$15:$C$17,MATCH($G24,'Vendor Cost Comparison'!$A$15:$A$17,0))</f>
        <v>354.1208</v>
      </c>
      <c r="P24" s="26" t="n">
        <f aca="false">N24-O24</f>
        <v>-4.29370000000006</v>
      </c>
      <c r="Q24" s="41" t="n">
        <f aca="false">IFERROR(P24/N24,0)</f>
        <v>-0.0122737775318152</v>
      </c>
      <c r="R24" s="26" t="n">
        <f aca="false">$M24*(1-INDEX('Vendor Cost Comparison'!$D$7:$D$11,MATCH($C24,'Vendor Cost Comparison'!$A$7:$A$11,0)))+INDEX('Vendor Cost Comparison'!$D$15:$D$17,MATCH($G24,'Vendor Cost Comparison'!$A$15:$A$17,0))</f>
        <v>345.3834</v>
      </c>
      <c r="S24" s="26" t="n">
        <f aca="false">N24-R24</f>
        <v>4.44369999999992</v>
      </c>
      <c r="T24" s="41" t="n">
        <f aca="false">IFERROR(S24/N24,0)</f>
        <v>0.0127025607793105</v>
      </c>
      <c r="U24" s="26" t="n">
        <f aca="false">$M24*(1-INDEX('Vendor Cost Comparison'!$E$7:$E$11,MATCH($C24,'Vendor Cost Comparison'!$A$7:$A$11,0)))+INDEX('Vendor Cost Comparison'!$E$15:$E$17,MATCH($G24,'Vendor Cost Comparison'!$A$15:$A$17,0))</f>
        <v>336.396</v>
      </c>
      <c r="V24" s="26" t="n">
        <f aca="false">N24-U24</f>
        <v>13.4311</v>
      </c>
      <c r="W24" s="41" t="n">
        <f aca="false">IFERROR(V24/N24,0)</f>
        <v>0.0383935378362624</v>
      </c>
      <c r="X24" s="26" t="n">
        <f aca="false">$M24*(1-INDEX('Vendor Cost Comparison'!$F$7:$F$11,MATCH($C24,'Vendor Cost Comparison'!$A$7:$A$11,0)))+INDEX('Vendor Cost Comparison'!$F$15:$F$17,MATCH($G24,'Vendor Cost Comparison'!$A$15:$A$17,0))</f>
        <v>340.9397</v>
      </c>
      <c r="Y24" s="26" t="n">
        <f aca="false">N24-X24</f>
        <v>8.88739999999996</v>
      </c>
      <c r="Z24" s="41" t="n">
        <f aca="false">IFERROR(Y24/N24,0)</f>
        <v>0.0254051215586213</v>
      </c>
      <c r="AA24" s="44" t="s">
        <v>151</v>
      </c>
      <c r="AB24" s="44" t="s">
        <v>151</v>
      </c>
      <c r="AC24" s="44" t="s">
        <v>151</v>
      </c>
    </row>
    <row r="25" customFormat="false" ht="15" hidden="false" customHeight="false" outlineLevel="0" collapsed="false">
      <c r="A25" s="35" t="s">
        <v>231</v>
      </c>
      <c r="B25" s="35" t="s">
        <v>197</v>
      </c>
      <c r="C25" s="35" t="s">
        <v>70</v>
      </c>
      <c r="D25" s="35" t="s">
        <v>232</v>
      </c>
      <c r="E25" s="35" t="s">
        <v>233</v>
      </c>
      <c r="F25" s="35" t="s">
        <v>149</v>
      </c>
      <c r="G25" s="35" t="s">
        <v>76</v>
      </c>
      <c r="H25" s="35" t="s">
        <v>171</v>
      </c>
      <c r="I25" s="42" t="n">
        <v>46199</v>
      </c>
      <c r="J25" s="43" t="n">
        <v>8.1947</v>
      </c>
      <c r="K25" s="35" t="n">
        <v>30</v>
      </c>
      <c r="L25" s="35" t="n">
        <v>30</v>
      </c>
      <c r="M25" s="26" t="n">
        <f aca="false">J25*K25</f>
        <v>245.841</v>
      </c>
      <c r="N25" s="26" t="n">
        <f aca="false">$M25*(1-INDEX('Vendor Cost Comparison'!$B$7:$B$11,MATCH($C25,'Vendor Cost Comparison'!$A$7:$A$11,0)))+INDEX('Vendor Cost Comparison'!$B$15:$B$17,MATCH($G25,'Vendor Cost Comparison'!$A$15:$A$17,0))</f>
        <v>205.79803</v>
      </c>
      <c r="O25" s="26" t="n">
        <f aca="false">$M25*(1-INDEX('Vendor Cost Comparison'!$C$7:$C$11,MATCH($C25,'Vendor Cost Comparison'!$A$7:$A$11,0)))+INDEX('Vendor Cost Comparison'!$C$15:$C$17,MATCH($G25,'Vendor Cost Comparison'!$A$15:$A$17,0))</f>
        <v>208.35644</v>
      </c>
      <c r="P25" s="26" t="n">
        <f aca="false">N25-O25</f>
        <v>-2.55840999999998</v>
      </c>
      <c r="Q25" s="41" t="n">
        <f aca="false">IFERROR(P25/N25,0)</f>
        <v>-0.0124316544721054</v>
      </c>
      <c r="R25" s="26" t="n">
        <f aca="false">$M25*(1-INDEX('Vendor Cost Comparison'!$D$7:$D$11,MATCH($C25,'Vendor Cost Comparison'!$A$7:$A$11,0)))+INDEX('Vendor Cost Comparison'!$D$15:$D$17,MATCH($G25,'Vendor Cost Comparison'!$A$15:$A$17,0))</f>
        <v>203.08962</v>
      </c>
      <c r="S25" s="26" t="n">
        <f aca="false">N25-R25</f>
        <v>2.70840999999999</v>
      </c>
      <c r="T25" s="41" t="n">
        <f aca="false">IFERROR(S25/N25,0)</f>
        <v>0.0131605244229014</v>
      </c>
      <c r="U25" s="26" t="n">
        <f aca="false">$M25*(1-INDEX('Vendor Cost Comparison'!$E$7:$E$11,MATCH($C25,'Vendor Cost Comparison'!$A$7:$A$11,0)))+INDEX('Vendor Cost Comparison'!$E$15:$E$17,MATCH($G25,'Vendor Cost Comparison'!$A$15:$A$17,0))</f>
        <v>197.5728</v>
      </c>
      <c r="V25" s="26" t="n">
        <f aca="false">N25-U25</f>
        <v>8.22522999999998</v>
      </c>
      <c r="W25" s="41" t="n">
        <f aca="false">IFERROR(V25/N25,0)</f>
        <v>0.0399674865692348</v>
      </c>
      <c r="X25" s="26" t="n">
        <f aca="false">$M25*(1-INDEX('Vendor Cost Comparison'!$F$7:$F$11,MATCH($C25,'Vendor Cost Comparison'!$A$7:$A$11,0)))+INDEX('Vendor Cost Comparison'!$F$15:$F$17,MATCH($G25,'Vendor Cost Comparison'!$A$15:$A$17,0))</f>
        <v>200.38121</v>
      </c>
      <c r="Y25" s="26" t="n">
        <f aca="false">N25-X25</f>
        <v>5.41681999999997</v>
      </c>
      <c r="Z25" s="41" t="n">
        <f aca="false">IFERROR(Y25/N25,0)</f>
        <v>0.0263210488458027</v>
      </c>
      <c r="AA25" s="44" t="s">
        <v>151</v>
      </c>
      <c r="AB25" s="44" t="s">
        <v>151</v>
      </c>
      <c r="AC25" s="44" t="s">
        <v>151</v>
      </c>
    </row>
    <row r="26" customFormat="false" ht="15" hidden="false" customHeight="false" outlineLevel="0" collapsed="false">
      <c r="A26" s="35" t="s">
        <v>234</v>
      </c>
      <c r="B26" s="35" t="s">
        <v>208</v>
      </c>
      <c r="C26" s="35" t="s">
        <v>72</v>
      </c>
      <c r="D26" s="35" t="s">
        <v>235</v>
      </c>
      <c r="E26" s="35" t="s">
        <v>236</v>
      </c>
      <c r="F26" s="35" t="s">
        <v>149</v>
      </c>
      <c r="G26" s="35" t="s">
        <v>77</v>
      </c>
      <c r="H26" s="35" t="s">
        <v>143</v>
      </c>
      <c r="I26" s="42" t="n">
        <v>46122</v>
      </c>
      <c r="J26" s="43" t="n">
        <v>12.4406</v>
      </c>
      <c r="K26" s="35" t="n">
        <v>90</v>
      </c>
      <c r="L26" s="35" t="n">
        <v>90</v>
      </c>
      <c r="M26" s="26" t="n">
        <f aca="false">J26*K26</f>
        <v>1119.654</v>
      </c>
      <c r="N26" s="26" t="n">
        <f aca="false">$M26*(1-INDEX('Vendor Cost Comparison'!$B$7:$B$11,MATCH($C26,'Vendor Cost Comparison'!$A$7:$A$11,0)))+INDEX('Vendor Cost Comparison'!$B$15:$B$17,MATCH($G26,'Vendor Cost Comparison'!$A$15:$A$17,0))</f>
        <v>895.9732</v>
      </c>
      <c r="O26" s="26" t="n">
        <f aca="false">$M26*(1-INDEX('Vendor Cost Comparison'!$C$7:$C$11,MATCH($C26,'Vendor Cost Comparison'!$A$7:$A$11,0)))+INDEX('Vendor Cost Comparison'!$C$15:$C$17,MATCH($G26,'Vendor Cost Comparison'!$A$15:$A$17,0))</f>
        <v>907.21974</v>
      </c>
      <c r="P26" s="26" t="n">
        <f aca="false">N26-O26</f>
        <v>-11.24654</v>
      </c>
      <c r="Q26" s="41" t="n">
        <f aca="false">IFERROR(P26/N26,0)</f>
        <v>-0.0125523174130655</v>
      </c>
      <c r="R26" s="26" t="n">
        <f aca="false">$M26*(1-INDEX('Vendor Cost Comparison'!$D$7:$D$11,MATCH($C26,'Vendor Cost Comparison'!$A$7:$A$11,0)))+INDEX('Vendor Cost Comparison'!$D$15:$D$17,MATCH($G26,'Vendor Cost Comparison'!$A$15:$A$17,0))</f>
        <v>884.52666</v>
      </c>
      <c r="S26" s="26" t="n">
        <f aca="false">N26-R26</f>
        <v>11.44654</v>
      </c>
      <c r="T26" s="41" t="n">
        <f aca="false">IFERROR(S26/N26,0)</f>
        <v>0.0127755383754782</v>
      </c>
      <c r="U26" s="26" t="n">
        <f aca="false">$M26*(1-INDEX('Vendor Cost Comparison'!$E$7:$E$11,MATCH($C26,'Vendor Cost Comparison'!$A$7:$A$11,0)))+INDEX('Vendor Cost Comparison'!$E$15:$E$17,MATCH($G26,'Vendor Cost Comparison'!$A$15:$A$17,0))</f>
        <v>850.93704</v>
      </c>
      <c r="V26" s="26" t="n">
        <f aca="false">N26-U26</f>
        <v>45.03616</v>
      </c>
      <c r="W26" s="41" t="n">
        <f aca="false">IFERROR(V26/N26,0)</f>
        <v>0.0502650748928651</v>
      </c>
      <c r="X26" s="26" t="n">
        <f aca="false">$M26*(1-INDEX('Vendor Cost Comparison'!$F$7:$F$11,MATCH($C26,'Vendor Cost Comparison'!$A$7:$A$11,0)))+INDEX('Vendor Cost Comparison'!$F$15:$F$17,MATCH($G26,'Vendor Cost Comparison'!$A$15:$A$17,0))</f>
        <v>873.43012</v>
      </c>
      <c r="Y26" s="26" t="n">
        <f aca="false">N26-X26</f>
        <v>22.5430799999999</v>
      </c>
      <c r="Z26" s="41" t="n">
        <f aca="false">IFERROR(Y26/N26,0)</f>
        <v>0.025160440066734</v>
      </c>
      <c r="AA26" s="44" t="s">
        <v>144</v>
      </c>
      <c r="AB26" s="44" t="s">
        <v>144</v>
      </c>
      <c r="AC26" s="44" t="s">
        <v>144</v>
      </c>
    </row>
    <row r="27" customFormat="false" ht="15" hidden="false" customHeight="false" outlineLevel="0" collapsed="false">
      <c r="A27" s="35" t="s">
        <v>237</v>
      </c>
      <c r="B27" s="35" t="s">
        <v>225</v>
      </c>
      <c r="C27" s="35" t="s">
        <v>73</v>
      </c>
      <c r="D27" s="35" t="s">
        <v>194</v>
      </c>
      <c r="E27" s="35" t="s">
        <v>238</v>
      </c>
      <c r="F27" s="35" t="s">
        <v>142</v>
      </c>
      <c r="G27" s="35" t="s">
        <v>77</v>
      </c>
      <c r="H27" s="35" t="s">
        <v>143</v>
      </c>
      <c r="I27" s="42" t="n">
        <v>46078</v>
      </c>
      <c r="J27" s="43" t="n">
        <v>2.3596</v>
      </c>
      <c r="K27" s="35" t="n">
        <v>90</v>
      </c>
      <c r="L27" s="35" t="n">
        <v>90</v>
      </c>
      <c r="M27" s="26" t="n">
        <f aca="false">J27*K27</f>
        <v>212.364</v>
      </c>
      <c r="N27" s="26" t="n">
        <f aca="false">$M27*(1-INDEX('Vendor Cost Comparison'!$B$7:$B$11,MATCH($C27,'Vendor Cost Comparison'!$A$7:$A$11,0)))+INDEX('Vendor Cost Comparison'!$B$15:$B$17,MATCH($G27,'Vendor Cost Comparison'!$A$15:$A$17,0))</f>
        <v>38.47552</v>
      </c>
      <c r="O27" s="26" t="n">
        <f aca="false">$M27*(1-INDEX('Vendor Cost Comparison'!$C$7:$C$11,MATCH($C27,'Vendor Cost Comparison'!$A$7:$A$11,0)))+INDEX('Vendor Cost Comparison'!$C$15:$C$17,MATCH($G27,'Vendor Cost Comparison'!$A$15:$A$17,0))</f>
        <v>42.7728</v>
      </c>
      <c r="P27" s="26" t="n">
        <f aca="false">N27-O27</f>
        <v>-4.29727999999998</v>
      </c>
      <c r="Q27" s="41" t="n">
        <f aca="false">IFERROR(P27/N27,0)</f>
        <v>-0.111688678931434</v>
      </c>
      <c r="R27" s="26" t="n">
        <f aca="false">$M27*(1-INDEX('Vendor Cost Comparison'!$D$7:$D$11,MATCH($C27,'Vendor Cost Comparison'!$A$7:$A$11,0)))+INDEX('Vendor Cost Comparison'!$D$15:$D$17,MATCH($G27,'Vendor Cost Comparison'!$A$15:$A$17,0))</f>
        <v>36.10188</v>
      </c>
      <c r="S27" s="26" t="n">
        <f aca="false">N27-R27</f>
        <v>2.37364</v>
      </c>
      <c r="T27" s="41" t="n">
        <f aca="false">IFERROR(S27/N27,0)</f>
        <v>0.0616922136464953</v>
      </c>
      <c r="U27" s="26" t="n">
        <f aca="false">$M27*(1-INDEX('Vendor Cost Comparison'!$E$7:$E$11,MATCH($C27,'Vendor Cost Comparison'!$A$7:$A$11,0)))+INDEX('Vendor Cost Comparison'!$E$15:$E$17,MATCH($G27,'Vendor Cost Comparison'!$A$15:$A$17,0))</f>
        <v>27.60732</v>
      </c>
      <c r="V27" s="26" t="n">
        <f aca="false">N27-U27</f>
        <v>10.8682</v>
      </c>
      <c r="W27" s="41" t="n">
        <f aca="false">IFERROR(V27/N27,0)</f>
        <v>0.282470516317908</v>
      </c>
      <c r="X27" s="26" t="n">
        <f aca="false">$M27*(1-INDEX('Vendor Cost Comparison'!$F$7:$F$11,MATCH($C27,'Vendor Cost Comparison'!$A$7:$A$11,0)))+INDEX('Vendor Cost Comparison'!$F$15:$F$17,MATCH($G27,'Vendor Cost Comparison'!$A$15:$A$17,0))</f>
        <v>31.9546</v>
      </c>
      <c r="Y27" s="26" t="n">
        <f aca="false">N27-X27</f>
        <v>6.52092</v>
      </c>
      <c r="Z27" s="41" t="n">
        <f aca="false">IFERROR(Y27/N27,0)</f>
        <v>0.169482309790745</v>
      </c>
      <c r="AA27" s="44" t="s">
        <v>144</v>
      </c>
      <c r="AB27" s="44" t="s">
        <v>144</v>
      </c>
      <c r="AC27" s="44" t="s">
        <v>144</v>
      </c>
    </row>
    <row r="28" customFormat="false" ht="15" hidden="false" customHeight="false" outlineLevel="0" collapsed="false">
      <c r="A28" s="35" t="s">
        <v>239</v>
      </c>
      <c r="B28" s="35" t="s">
        <v>240</v>
      </c>
      <c r="C28" s="35" t="s">
        <v>74</v>
      </c>
      <c r="D28" s="35" t="s">
        <v>241</v>
      </c>
      <c r="E28" s="35" t="s">
        <v>242</v>
      </c>
      <c r="F28" s="35" t="s">
        <v>149</v>
      </c>
      <c r="G28" s="35" t="s">
        <v>78</v>
      </c>
      <c r="H28" s="35" t="s">
        <v>217</v>
      </c>
      <c r="I28" s="42" t="n">
        <v>46104</v>
      </c>
      <c r="J28" s="43" t="n">
        <v>7168.08</v>
      </c>
      <c r="K28" s="35" t="n">
        <v>1</v>
      </c>
      <c r="L28" s="35" t="n">
        <v>30</v>
      </c>
      <c r="M28" s="26" t="n">
        <f aca="false">J28*K28</f>
        <v>7168.08</v>
      </c>
      <c r="N28" s="26" t="n">
        <f aca="false">$M28*(1-INDEX('Vendor Cost Comparison'!$B$7:$B$11,MATCH($C28,'Vendor Cost Comparison'!$A$7:$A$11,0)))+INDEX('Vendor Cost Comparison'!$B$15:$B$17,MATCH($G28,'Vendor Cost Comparison'!$A$15:$A$17,0))</f>
        <v>6092.868</v>
      </c>
      <c r="O28" s="26" t="n">
        <f aca="false">$M28*(1-INDEX('Vendor Cost Comparison'!$C$7:$C$11,MATCH($C28,'Vendor Cost Comparison'!$A$7:$A$11,0)))+INDEX('Vendor Cost Comparison'!$C$15:$C$17,MATCH($G28,'Vendor Cost Comparison'!$A$15:$A$17,0))</f>
        <v>6164.5488</v>
      </c>
      <c r="P28" s="26" t="n">
        <f aca="false">N28-O28</f>
        <v>-71.6808000000001</v>
      </c>
      <c r="Q28" s="41" t="n">
        <f aca="false">IFERROR(P28/N28,0)</f>
        <v>-0.011764705882353</v>
      </c>
      <c r="R28" s="26" t="n">
        <f aca="false">$M28*(1-INDEX('Vendor Cost Comparison'!$D$7:$D$11,MATCH($C28,'Vendor Cost Comparison'!$A$7:$A$11,0)))+INDEX('Vendor Cost Comparison'!$D$15:$D$17,MATCH($G28,'Vendor Cost Comparison'!$A$15:$A$17,0))</f>
        <v>6021.1872</v>
      </c>
      <c r="S28" s="26" t="n">
        <f aca="false">N28-R28</f>
        <v>71.6808000000001</v>
      </c>
      <c r="T28" s="41" t="n">
        <f aca="false">IFERROR(S28/N28,0)</f>
        <v>0.011764705882353</v>
      </c>
      <c r="U28" s="26" t="n">
        <f aca="false">$M28*(1-INDEX('Vendor Cost Comparison'!$E$7:$E$11,MATCH($C28,'Vendor Cost Comparison'!$A$7:$A$11,0)))+INDEX('Vendor Cost Comparison'!$E$15:$E$17,MATCH($G28,'Vendor Cost Comparison'!$A$15:$A$17,0))</f>
        <v>5949.5064</v>
      </c>
      <c r="V28" s="26" t="n">
        <f aca="false">N28-U28</f>
        <v>143.3616</v>
      </c>
      <c r="W28" s="41" t="n">
        <f aca="false">IFERROR(V28/N28,0)</f>
        <v>0.0235294117647059</v>
      </c>
      <c r="X28" s="26" t="n">
        <f aca="false">$M28*(1-INDEX('Vendor Cost Comparison'!$F$7:$F$11,MATCH($C28,'Vendor Cost Comparison'!$A$7:$A$11,0)))+INDEX('Vendor Cost Comparison'!$F$15:$F$17,MATCH($G28,'Vendor Cost Comparison'!$A$15:$A$17,0))</f>
        <v>5734.464</v>
      </c>
      <c r="Y28" s="26" t="n">
        <f aca="false">N28-X28</f>
        <v>358.404</v>
      </c>
      <c r="Z28" s="41" t="n">
        <f aca="false">IFERROR(Y28/N28,0)</f>
        <v>0.0588235294117646</v>
      </c>
      <c r="AA28" s="44" t="s">
        <v>144</v>
      </c>
      <c r="AB28" s="44" t="s">
        <v>144</v>
      </c>
      <c r="AC28" s="44" t="s">
        <v>144</v>
      </c>
    </row>
    <row r="29" customFormat="false" ht="15" hidden="false" customHeight="false" outlineLevel="0" collapsed="false">
      <c r="A29" s="35" t="s">
        <v>243</v>
      </c>
      <c r="B29" s="35" t="s">
        <v>146</v>
      </c>
      <c r="C29" s="35" t="s">
        <v>71</v>
      </c>
      <c r="D29" s="35" t="s">
        <v>169</v>
      </c>
      <c r="E29" s="35" t="s">
        <v>244</v>
      </c>
      <c r="F29" s="35" t="s">
        <v>142</v>
      </c>
      <c r="G29" s="35" t="s">
        <v>76</v>
      </c>
      <c r="H29" s="35" t="s">
        <v>200</v>
      </c>
      <c r="I29" s="42" t="n">
        <v>46145</v>
      </c>
      <c r="J29" s="43" t="n">
        <v>2.0643</v>
      </c>
      <c r="K29" s="35" t="n">
        <v>30</v>
      </c>
      <c r="L29" s="35" t="n">
        <v>30</v>
      </c>
      <c r="M29" s="26" t="n">
        <f aca="false">J29*K29</f>
        <v>61.929</v>
      </c>
      <c r="N29" s="26" t="n">
        <f aca="false">$M29*(1-INDEX('Vendor Cost Comparison'!$B$7:$B$11,MATCH($C29,'Vendor Cost Comparison'!$A$7:$A$11,0)))+INDEX('Vendor Cost Comparison'!$B$15:$B$17,MATCH($G29,'Vendor Cost Comparison'!$A$15:$A$17,0))</f>
        <v>15.37438</v>
      </c>
      <c r="O29" s="26" t="n">
        <f aca="false">$M29*(1-INDEX('Vendor Cost Comparison'!$C$7:$C$11,MATCH($C29,'Vendor Cost Comparison'!$A$7:$A$11,0)))+INDEX('Vendor Cost Comparison'!$C$15:$C$17,MATCH($G29,'Vendor Cost Comparison'!$A$15:$A$17,0))</f>
        <v>16.71296</v>
      </c>
      <c r="P29" s="26" t="n">
        <f aca="false">N29-O29</f>
        <v>-1.33858</v>
      </c>
      <c r="Q29" s="41" t="n">
        <f aca="false">IFERROR(P29/N29,0)</f>
        <v>-0.0870656247601531</v>
      </c>
      <c r="R29" s="26" t="n">
        <f aca="false">$M29*(1-INDEX('Vendor Cost Comparison'!$D$7:$D$11,MATCH($C29,'Vendor Cost Comparison'!$A$7:$A$11,0)))+INDEX('Vendor Cost Comparison'!$D$15:$D$17,MATCH($G29,'Vendor Cost Comparison'!$A$15:$A$17,0))</f>
        <v>13.8858</v>
      </c>
      <c r="S29" s="26" t="n">
        <f aca="false">N29-R29</f>
        <v>1.48858</v>
      </c>
      <c r="T29" s="41" t="n">
        <f aca="false">IFERROR(S29/N29,0)</f>
        <v>0.0968221157536109</v>
      </c>
      <c r="U29" s="26" t="n">
        <f aca="false">$M29*(1-INDEX('Vendor Cost Comparison'!$E$7:$E$11,MATCH($C29,'Vendor Cost Comparison'!$A$7:$A$11,0)))+INDEX('Vendor Cost Comparison'!$E$15:$E$17,MATCH($G29,'Vendor Cost Comparison'!$A$15:$A$17,0))</f>
        <v>10.80864</v>
      </c>
      <c r="V29" s="26" t="n">
        <f aca="false">N29-U29</f>
        <v>4.56574</v>
      </c>
      <c r="W29" s="41" t="n">
        <f aca="false">IFERROR(V29/N29,0)</f>
        <v>0.296970674589804</v>
      </c>
      <c r="X29" s="26" t="n">
        <f aca="false">$M29*(1-INDEX('Vendor Cost Comparison'!$F$7:$F$11,MATCH($C29,'Vendor Cost Comparison'!$A$7:$A$11,0)))+INDEX('Vendor Cost Comparison'!$F$15:$F$17,MATCH($G29,'Vendor Cost Comparison'!$A$15:$A$17,0))</f>
        <v>12.39722</v>
      </c>
      <c r="Y29" s="26" t="n">
        <f aca="false">N29-X29</f>
        <v>2.97715999999999</v>
      </c>
      <c r="Z29" s="41" t="n">
        <f aca="false">IFERROR(Y29/N29,0)</f>
        <v>0.193644231507221</v>
      </c>
      <c r="AA29" s="44" t="s">
        <v>151</v>
      </c>
      <c r="AB29" s="44" t="s">
        <v>151</v>
      </c>
      <c r="AC29" s="44" t="s">
        <v>151</v>
      </c>
    </row>
    <row r="30" customFormat="false" ht="15" hidden="false" customHeight="false" outlineLevel="0" collapsed="false">
      <c r="A30" s="35" t="s">
        <v>245</v>
      </c>
      <c r="B30" s="35" t="s">
        <v>193</v>
      </c>
      <c r="C30" s="35" t="s">
        <v>74</v>
      </c>
      <c r="D30" s="35" t="s">
        <v>246</v>
      </c>
      <c r="E30" s="35" t="s">
        <v>247</v>
      </c>
      <c r="F30" s="35" t="s">
        <v>149</v>
      </c>
      <c r="G30" s="35" t="s">
        <v>78</v>
      </c>
      <c r="H30" s="35" t="s">
        <v>217</v>
      </c>
      <c r="I30" s="42" t="n">
        <v>46084</v>
      </c>
      <c r="J30" s="43" t="n">
        <v>4297.39</v>
      </c>
      <c r="K30" s="35" t="n">
        <v>1</v>
      </c>
      <c r="L30" s="35" t="n">
        <v>30</v>
      </c>
      <c r="M30" s="26" t="n">
        <f aca="false">J30*K30</f>
        <v>4297.39</v>
      </c>
      <c r="N30" s="26" t="n">
        <f aca="false">$M30*(1-INDEX('Vendor Cost Comparison'!$B$7:$B$11,MATCH($C30,'Vendor Cost Comparison'!$A$7:$A$11,0)))+INDEX('Vendor Cost Comparison'!$B$15:$B$17,MATCH($G30,'Vendor Cost Comparison'!$A$15:$A$17,0))</f>
        <v>3652.7815</v>
      </c>
      <c r="O30" s="26" t="n">
        <f aca="false">$M30*(1-INDEX('Vendor Cost Comparison'!$C$7:$C$11,MATCH($C30,'Vendor Cost Comparison'!$A$7:$A$11,0)))+INDEX('Vendor Cost Comparison'!$C$15:$C$17,MATCH($G30,'Vendor Cost Comparison'!$A$15:$A$17,0))</f>
        <v>3695.7554</v>
      </c>
      <c r="P30" s="26" t="n">
        <f aca="false">N30-O30</f>
        <v>-42.9739</v>
      </c>
      <c r="Q30" s="41" t="n">
        <f aca="false">IFERROR(P30/N30,0)</f>
        <v>-0.0117647058823529</v>
      </c>
      <c r="R30" s="26" t="n">
        <f aca="false">$M30*(1-INDEX('Vendor Cost Comparison'!$D$7:$D$11,MATCH($C30,'Vendor Cost Comparison'!$A$7:$A$11,0)))+INDEX('Vendor Cost Comparison'!$D$15:$D$17,MATCH($G30,'Vendor Cost Comparison'!$A$15:$A$17,0))</f>
        <v>3609.8076</v>
      </c>
      <c r="S30" s="26" t="n">
        <f aca="false">N30-R30</f>
        <v>42.9739</v>
      </c>
      <c r="T30" s="41" t="n">
        <f aca="false">IFERROR(S30/N30,0)</f>
        <v>0.0117647058823529</v>
      </c>
      <c r="U30" s="26" t="n">
        <f aca="false">$M30*(1-INDEX('Vendor Cost Comparison'!$E$7:$E$11,MATCH($C30,'Vendor Cost Comparison'!$A$7:$A$11,0)))+INDEX('Vendor Cost Comparison'!$E$15:$E$17,MATCH($G30,'Vendor Cost Comparison'!$A$15:$A$17,0))</f>
        <v>3566.8337</v>
      </c>
      <c r="V30" s="26" t="n">
        <f aca="false">N30-U30</f>
        <v>85.9477999999999</v>
      </c>
      <c r="W30" s="41" t="n">
        <f aca="false">IFERROR(V30/N30,0)</f>
        <v>0.0235294117647059</v>
      </c>
      <c r="X30" s="26" t="n">
        <f aca="false">$M30*(1-INDEX('Vendor Cost Comparison'!$F$7:$F$11,MATCH($C30,'Vendor Cost Comparison'!$A$7:$A$11,0)))+INDEX('Vendor Cost Comparison'!$F$15:$F$17,MATCH($G30,'Vendor Cost Comparison'!$A$15:$A$17,0))</f>
        <v>3437.912</v>
      </c>
      <c r="Y30" s="26" t="n">
        <f aca="false">N30-X30</f>
        <v>214.8695</v>
      </c>
      <c r="Z30" s="41" t="n">
        <f aca="false">IFERROR(Y30/N30,0)</f>
        <v>0.0588235294117647</v>
      </c>
      <c r="AA30" s="44" t="s">
        <v>144</v>
      </c>
      <c r="AB30" s="44" t="s">
        <v>144</v>
      </c>
      <c r="AC30" s="44" t="s">
        <v>144</v>
      </c>
    </row>
    <row r="31" customFormat="false" ht="15" hidden="false" customHeight="false" outlineLevel="0" collapsed="false">
      <c r="A31" s="35" t="s">
        <v>248</v>
      </c>
      <c r="B31" s="35" t="s">
        <v>249</v>
      </c>
      <c r="C31" s="35" t="s">
        <v>73</v>
      </c>
      <c r="D31" s="35" t="s">
        <v>190</v>
      </c>
      <c r="E31" s="35" t="s">
        <v>250</v>
      </c>
      <c r="F31" s="35" t="s">
        <v>142</v>
      </c>
      <c r="G31" s="35" t="s">
        <v>77</v>
      </c>
      <c r="H31" s="35" t="s">
        <v>143</v>
      </c>
      <c r="I31" s="42" t="n">
        <v>46063</v>
      </c>
      <c r="J31" s="43" t="n">
        <v>1.3513</v>
      </c>
      <c r="K31" s="35" t="n">
        <v>90</v>
      </c>
      <c r="L31" s="35" t="n">
        <v>90</v>
      </c>
      <c r="M31" s="26" t="n">
        <f aca="false">J31*K31</f>
        <v>121.617</v>
      </c>
      <c r="N31" s="26" t="n">
        <f aca="false">$M31*(1-INDEX('Vendor Cost Comparison'!$B$7:$B$11,MATCH($C31,'Vendor Cost Comparison'!$A$7:$A$11,0)))+INDEX('Vendor Cost Comparison'!$B$15:$B$17,MATCH($G31,'Vendor Cost Comparison'!$A$15:$A$17,0))</f>
        <v>22.14106</v>
      </c>
      <c r="O31" s="26" t="n">
        <f aca="false">$M31*(1-INDEX('Vendor Cost Comparison'!$C$7:$C$11,MATCH($C31,'Vendor Cost Comparison'!$A$7:$A$11,0)))+INDEX('Vendor Cost Comparison'!$C$15:$C$17,MATCH($G31,'Vendor Cost Comparison'!$A$15:$A$17,0))</f>
        <v>24.6234</v>
      </c>
      <c r="P31" s="26" t="n">
        <f aca="false">N31-O31</f>
        <v>-2.48233999999999</v>
      </c>
      <c r="Q31" s="41" t="n">
        <f aca="false">IFERROR(P31/N31,0)</f>
        <v>-0.112114776799304</v>
      </c>
      <c r="R31" s="26" t="n">
        <f aca="false">$M31*(1-INDEX('Vendor Cost Comparison'!$D$7:$D$11,MATCH($C31,'Vendor Cost Comparison'!$A$7:$A$11,0)))+INDEX('Vendor Cost Comparison'!$D$15:$D$17,MATCH($G31,'Vendor Cost Comparison'!$A$15:$A$17,0))</f>
        <v>20.67489</v>
      </c>
      <c r="S31" s="26" t="n">
        <f aca="false">N31-R31</f>
        <v>1.46617</v>
      </c>
      <c r="T31" s="41" t="n">
        <f aca="false">IFERROR(S31/N31,0)</f>
        <v>0.066219503492606</v>
      </c>
      <c r="U31" s="26" t="n">
        <f aca="false">$M31*(1-INDEX('Vendor Cost Comparison'!$E$7:$E$11,MATCH($C31,'Vendor Cost Comparison'!$A$7:$A$11,0)))+INDEX('Vendor Cost Comparison'!$E$15:$E$17,MATCH($G31,'Vendor Cost Comparison'!$A$15:$A$17,0))</f>
        <v>15.81021</v>
      </c>
      <c r="V31" s="26" t="n">
        <f aca="false">N31-U31</f>
        <v>6.33085</v>
      </c>
      <c r="W31" s="41" t="n">
        <f aca="false">IFERROR(V31/N31,0)</f>
        <v>0.285932561494346</v>
      </c>
      <c r="X31" s="26" t="n">
        <f aca="false">$M31*(1-INDEX('Vendor Cost Comparison'!$F$7:$F$11,MATCH($C31,'Vendor Cost Comparison'!$A$7:$A$11,0)))+INDEX('Vendor Cost Comparison'!$F$15:$F$17,MATCH($G31,'Vendor Cost Comparison'!$A$15:$A$17,0))</f>
        <v>18.34255</v>
      </c>
      <c r="Y31" s="26" t="n">
        <f aca="false">N31-X31</f>
        <v>3.79851</v>
      </c>
      <c r="Z31" s="41" t="n">
        <f aca="false">IFERROR(Y31/N31,0)</f>
        <v>0.171559536896607</v>
      </c>
      <c r="AA31" s="44" t="s">
        <v>144</v>
      </c>
      <c r="AB31" s="44" t="s">
        <v>144</v>
      </c>
      <c r="AC31" s="44" t="s">
        <v>144</v>
      </c>
    </row>
    <row r="32" customFormat="false" ht="15" hidden="false" customHeight="false" outlineLevel="0" collapsed="false">
      <c r="A32" s="35" t="s">
        <v>251</v>
      </c>
      <c r="B32" s="35" t="s">
        <v>252</v>
      </c>
      <c r="C32" s="35" t="s">
        <v>70</v>
      </c>
      <c r="D32" s="35" t="s">
        <v>253</v>
      </c>
      <c r="E32" s="35" t="s">
        <v>254</v>
      </c>
      <c r="F32" s="35" t="s">
        <v>149</v>
      </c>
      <c r="G32" s="35" t="s">
        <v>76</v>
      </c>
      <c r="H32" s="35" t="s">
        <v>255</v>
      </c>
      <c r="I32" s="42" t="n">
        <v>46180</v>
      </c>
      <c r="J32" s="43" t="n">
        <v>6.0367</v>
      </c>
      <c r="K32" s="35" t="n">
        <v>30</v>
      </c>
      <c r="L32" s="35" t="n">
        <v>30</v>
      </c>
      <c r="M32" s="26" t="n">
        <f aca="false">J32*K32</f>
        <v>181.101</v>
      </c>
      <c r="N32" s="26" t="n">
        <f aca="false">$M32*(1-INDEX('Vendor Cost Comparison'!$B$7:$B$11,MATCH($C32,'Vendor Cost Comparison'!$A$7:$A$11,0)))+INDEX('Vendor Cost Comparison'!$B$15:$B$17,MATCH($G32,'Vendor Cost Comparison'!$A$15:$A$17,0))</f>
        <v>152.06383</v>
      </c>
      <c r="O32" s="26" t="n">
        <f aca="false">$M32*(1-INDEX('Vendor Cost Comparison'!$C$7:$C$11,MATCH($C32,'Vendor Cost Comparison'!$A$7:$A$11,0)))+INDEX('Vendor Cost Comparison'!$C$15:$C$17,MATCH($G32,'Vendor Cost Comparison'!$A$15:$A$17,0))</f>
        <v>153.97484</v>
      </c>
      <c r="P32" s="26" t="n">
        <f aca="false">N32-O32</f>
        <v>-1.91101</v>
      </c>
      <c r="Q32" s="41" t="n">
        <f aca="false">IFERROR(P32/N32,0)</f>
        <v>-0.0125671568314438</v>
      </c>
      <c r="R32" s="26" t="n">
        <f aca="false">$M32*(1-INDEX('Vendor Cost Comparison'!$D$7:$D$11,MATCH($C32,'Vendor Cost Comparison'!$A$7:$A$11,0)))+INDEX('Vendor Cost Comparison'!$D$15:$D$17,MATCH($G32,'Vendor Cost Comparison'!$A$15:$A$17,0))</f>
        <v>150.00282</v>
      </c>
      <c r="S32" s="26" t="n">
        <f aca="false">N32-R32</f>
        <v>2.06100999999998</v>
      </c>
      <c r="T32" s="41" t="n">
        <f aca="false">IFERROR(S32/N32,0)</f>
        <v>0.0135535847018978</v>
      </c>
      <c r="U32" s="26" t="n">
        <f aca="false">$M32*(1-INDEX('Vendor Cost Comparison'!$E$7:$E$11,MATCH($C32,'Vendor Cost Comparison'!$A$7:$A$11,0)))+INDEX('Vendor Cost Comparison'!$E$15:$E$17,MATCH($G32,'Vendor Cost Comparison'!$A$15:$A$17,0))</f>
        <v>145.7808</v>
      </c>
      <c r="V32" s="26" t="n">
        <f aca="false">N32-U32</f>
        <v>6.28303</v>
      </c>
      <c r="W32" s="41" t="n">
        <f aca="false">IFERROR(V32/N32,0)</f>
        <v>0.0413183726859964</v>
      </c>
      <c r="X32" s="26" t="n">
        <f aca="false">$M32*(1-INDEX('Vendor Cost Comparison'!$F$7:$F$11,MATCH($C32,'Vendor Cost Comparison'!$A$7:$A$11,0)))+INDEX('Vendor Cost Comparison'!$F$15:$F$17,MATCH($G32,'Vendor Cost Comparison'!$A$15:$A$17,0))</f>
        <v>147.94181</v>
      </c>
      <c r="Y32" s="26" t="n">
        <f aca="false">N32-X32</f>
        <v>4.12201999999999</v>
      </c>
      <c r="Z32" s="41" t="n">
        <f aca="false">IFERROR(Y32/N32,0)</f>
        <v>0.0271071694037957</v>
      </c>
      <c r="AA32" s="44" t="s">
        <v>151</v>
      </c>
      <c r="AB32" s="44" t="s">
        <v>151</v>
      </c>
      <c r="AC32" s="44" t="s">
        <v>151</v>
      </c>
    </row>
    <row r="33" customFormat="false" ht="15" hidden="false" customHeight="false" outlineLevel="0" collapsed="false">
      <c r="A33" s="35" t="s">
        <v>256</v>
      </c>
      <c r="B33" s="35" t="s">
        <v>204</v>
      </c>
      <c r="C33" s="35" t="s">
        <v>73</v>
      </c>
      <c r="D33" s="35" t="s">
        <v>194</v>
      </c>
      <c r="E33" s="35" t="s">
        <v>257</v>
      </c>
      <c r="F33" s="35" t="s">
        <v>142</v>
      </c>
      <c r="G33" s="35" t="s">
        <v>77</v>
      </c>
      <c r="H33" s="35" t="s">
        <v>143</v>
      </c>
      <c r="I33" s="42" t="n">
        <v>45927</v>
      </c>
      <c r="J33" s="43" t="n">
        <v>1.0652</v>
      </c>
      <c r="K33" s="35" t="n">
        <v>90</v>
      </c>
      <c r="L33" s="35" t="n">
        <v>90</v>
      </c>
      <c r="M33" s="26" t="n">
        <f aca="false">J33*K33</f>
        <v>95.868</v>
      </c>
      <c r="N33" s="26" t="n">
        <f aca="false">$M33*(1-INDEX('Vendor Cost Comparison'!$B$7:$B$11,MATCH($C33,'Vendor Cost Comparison'!$A$7:$A$11,0)))+INDEX('Vendor Cost Comparison'!$B$15:$B$17,MATCH($G33,'Vendor Cost Comparison'!$A$15:$A$17,0))</f>
        <v>17.50624</v>
      </c>
      <c r="O33" s="26" t="n">
        <f aca="false">$M33*(1-INDEX('Vendor Cost Comparison'!$C$7:$C$11,MATCH($C33,'Vendor Cost Comparison'!$A$7:$A$11,0)))+INDEX('Vendor Cost Comparison'!$C$15:$C$17,MATCH($G33,'Vendor Cost Comparison'!$A$15:$A$17,0))</f>
        <v>19.4736</v>
      </c>
      <c r="P33" s="26" t="n">
        <f aca="false">N33-O33</f>
        <v>-1.96735999999999</v>
      </c>
      <c r="Q33" s="41" t="n">
        <f aca="false">IFERROR(P33/N33,0)</f>
        <v>-0.11238049975323</v>
      </c>
      <c r="R33" s="26" t="n">
        <f aca="false">$M33*(1-INDEX('Vendor Cost Comparison'!$D$7:$D$11,MATCH($C33,'Vendor Cost Comparison'!$A$7:$A$11,0)))+INDEX('Vendor Cost Comparison'!$D$15:$D$17,MATCH($G33,'Vendor Cost Comparison'!$A$15:$A$17,0))</f>
        <v>16.29756</v>
      </c>
      <c r="S33" s="26" t="n">
        <f aca="false">N33-R33</f>
        <v>1.20868</v>
      </c>
      <c r="T33" s="41" t="n">
        <f aca="false">IFERROR(S33/N33,0)</f>
        <v>0.0690428098780778</v>
      </c>
      <c r="U33" s="26" t="n">
        <f aca="false">$M33*(1-INDEX('Vendor Cost Comparison'!$E$7:$E$11,MATCH($C33,'Vendor Cost Comparison'!$A$7:$A$11,0)))+INDEX('Vendor Cost Comparison'!$E$15:$E$17,MATCH($G33,'Vendor Cost Comparison'!$A$15:$A$17,0))</f>
        <v>12.46284</v>
      </c>
      <c r="V33" s="26" t="n">
        <f aca="false">N33-U33</f>
        <v>5.04340000000001</v>
      </c>
      <c r="W33" s="41" t="n">
        <f aca="false">IFERROR(V33/N33,0)</f>
        <v>0.288091560495001</v>
      </c>
      <c r="X33" s="26" t="n">
        <f aca="false">$M33*(1-INDEX('Vendor Cost Comparison'!$F$7:$F$11,MATCH($C33,'Vendor Cost Comparison'!$A$7:$A$11,0)))+INDEX('Vendor Cost Comparison'!$F$15:$F$17,MATCH($G33,'Vendor Cost Comparison'!$A$15:$A$17,0))</f>
        <v>14.4802</v>
      </c>
      <c r="Y33" s="26" t="n">
        <f aca="false">N33-X33</f>
        <v>3.02604</v>
      </c>
      <c r="Z33" s="41" t="n">
        <f aca="false">IFERROR(Y33/N33,0)</f>
        <v>0.172854936297001</v>
      </c>
      <c r="AA33" s="44" t="s">
        <v>144</v>
      </c>
      <c r="AB33" s="44" t="s">
        <v>144</v>
      </c>
      <c r="AC33" s="44" t="s">
        <v>144</v>
      </c>
    </row>
    <row r="34" customFormat="false" ht="15" hidden="false" customHeight="false" outlineLevel="0" collapsed="false">
      <c r="A34" s="35" t="s">
        <v>258</v>
      </c>
      <c r="B34" s="35" t="s">
        <v>259</v>
      </c>
      <c r="C34" s="35" t="s">
        <v>71</v>
      </c>
      <c r="D34" s="35" t="s">
        <v>260</v>
      </c>
      <c r="E34" s="35" t="s">
        <v>261</v>
      </c>
      <c r="F34" s="35" t="s">
        <v>142</v>
      </c>
      <c r="G34" s="35" t="s">
        <v>76</v>
      </c>
      <c r="H34" s="35" t="s">
        <v>156</v>
      </c>
      <c r="I34" s="42" t="n">
        <v>46193</v>
      </c>
      <c r="J34" s="43" t="n">
        <v>1.809</v>
      </c>
      <c r="K34" s="35" t="n">
        <v>30</v>
      </c>
      <c r="L34" s="35" t="n">
        <v>30</v>
      </c>
      <c r="M34" s="26" t="n">
        <f aca="false">J34*K34</f>
        <v>54.27</v>
      </c>
      <c r="N34" s="26" t="n">
        <f aca="false">$M34*(1-INDEX('Vendor Cost Comparison'!$B$7:$B$11,MATCH($C34,'Vendor Cost Comparison'!$A$7:$A$11,0)))+INDEX('Vendor Cost Comparison'!$B$15:$B$17,MATCH($G34,'Vendor Cost Comparison'!$A$15:$A$17,0))</f>
        <v>13.6894</v>
      </c>
      <c r="O34" s="26" t="n">
        <f aca="false">$M34*(1-INDEX('Vendor Cost Comparison'!$C$7:$C$11,MATCH($C34,'Vendor Cost Comparison'!$A$7:$A$11,0)))+INDEX('Vendor Cost Comparison'!$C$15:$C$17,MATCH($G34,'Vendor Cost Comparison'!$A$15:$A$17,0))</f>
        <v>14.8748</v>
      </c>
      <c r="P34" s="26" t="n">
        <f aca="false">N34-O34</f>
        <v>-1.1854</v>
      </c>
      <c r="Q34" s="41" t="n">
        <f aca="false">IFERROR(P34/N34,0)</f>
        <v>-0.0865925460575337</v>
      </c>
      <c r="R34" s="26" t="n">
        <f aca="false">$M34*(1-INDEX('Vendor Cost Comparison'!$D$7:$D$11,MATCH($C34,'Vendor Cost Comparison'!$A$7:$A$11,0)))+INDEX('Vendor Cost Comparison'!$D$15:$D$17,MATCH($G34,'Vendor Cost Comparison'!$A$15:$A$17,0))</f>
        <v>12.354</v>
      </c>
      <c r="S34" s="26" t="n">
        <f aca="false">N34-R34</f>
        <v>1.3354</v>
      </c>
      <c r="T34" s="41" t="n">
        <f aca="false">IFERROR(S34/N34,0)</f>
        <v>0.0975499291422561</v>
      </c>
      <c r="U34" s="26" t="n">
        <f aca="false">$M34*(1-INDEX('Vendor Cost Comparison'!$E$7:$E$11,MATCH($C34,'Vendor Cost Comparison'!$A$7:$A$11,0)))+INDEX('Vendor Cost Comparison'!$E$15:$E$17,MATCH($G34,'Vendor Cost Comparison'!$A$15:$A$17,0))</f>
        <v>9.5832</v>
      </c>
      <c r="V34" s="26" t="n">
        <f aca="false">N34-U34</f>
        <v>4.1062</v>
      </c>
      <c r="W34" s="41" t="n">
        <f aca="false">IFERROR(V34/N34,0)</f>
        <v>0.29995470948325</v>
      </c>
      <c r="X34" s="26" t="n">
        <f aca="false">$M34*(1-INDEX('Vendor Cost Comparison'!$F$7:$F$11,MATCH($C34,'Vendor Cost Comparison'!$A$7:$A$11,0)))+INDEX('Vendor Cost Comparison'!$F$15:$F$17,MATCH($G34,'Vendor Cost Comparison'!$A$15:$A$17,0))</f>
        <v>11.0186</v>
      </c>
      <c r="Y34" s="26" t="n">
        <f aca="false">N34-X34</f>
        <v>2.6708</v>
      </c>
      <c r="Z34" s="41" t="n">
        <f aca="false">IFERROR(Y34/N34,0)</f>
        <v>0.195099858284512</v>
      </c>
      <c r="AA34" s="44" t="s">
        <v>151</v>
      </c>
      <c r="AB34" s="44" t="s">
        <v>151</v>
      </c>
      <c r="AC34" s="44" t="s">
        <v>151</v>
      </c>
    </row>
    <row r="35" customFormat="false" ht="15" hidden="false" customHeight="false" outlineLevel="0" collapsed="false">
      <c r="A35" s="35" t="s">
        <v>262</v>
      </c>
      <c r="B35" s="35" t="s">
        <v>178</v>
      </c>
      <c r="C35" s="35" t="s">
        <v>71</v>
      </c>
      <c r="D35" s="35" t="s">
        <v>198</v>
      </c>
      <c r="E35" s="35" t="s">
        <v>263</v>
      </c>
      <c r="F35" s="35" t="s">
        <v>142</v>
      </c>
      <c r="G35" s="35" t="s">
        <v>76</v>
      </c>
      <c r="H35" s="35" t="s">
        <v>200</v>
      </c>
      <c r="I35" s="42" t="n">
        <v>45979</v>
      </c>
      <c r="J35" s="43" t="n">
        <v>1.419</v>
      </c>
      <c r="K35" s="35" t="n">
        <v>30</v>
      </c>
      <c r="L35" s="35" t="n">
        <v>30</v>
      </c>
      <c r="M35" s="26" t="n">
        <f aca="false">J35*K35</f>
        <v>42.57</v>
      </c>
      <c r="N35" s="26" t="n">
        <f aca="false">$M35*(1-INDEX('Vendor Cost Comparison'!$B$7:$B$11,MATCH($C35,'Vendor Cost Comparison'!$A$7:$A$11,0)))+INDEX('Vendor Cost Comparison'!$B$15:$B$17,MATCH($G35,'Vendor Cost Comparison'!$A$15:$A$17,0))</f>
        <v>11.1154</v>
      </c>
      <c r="O35" s="26" t="n">
        <f aca="false">$M35*(1-INDEX('Vendor Cost Comparison'!$C$7:$C$11,MATCH($C35,'Vendor Cost Comparison'!$A$7:$A$11,0)))+INDEX('Vendor Cost Comparison'!$C$15:$C$17,MATCH($G35,'Vendor Cost Comparison'!$A$15:$A$17,0))</f>
        <v>12.0668</v>
      </c>
      <c r="P35" s="26" t="n">
        <f aca="false">N35-O35</f>
        <v>-0.9514</v>
      </c>
      <c r="Q35" s="41" t="n">
        <f aca="false">IFERROR(P35/N35,0)</f>
        <v>-0.0855929611170088</v>
      </c>
      <c r="R35" s="26" t="n">
        <f aca="false">$M35*(1-INDEX('Vendor Cost Comparison'!$D$7:$D$11,MATCH($C35,'Vendor Cost Comparison'!$A$7:$A$11,0)))+INDEX('Vendor Cost Comparison'!$D$15:$D$17,MATCH($G35,'Vendor Cost Comparison'!$A$15:$A$17,0))</f>
        <v>10.014</v>
      </c>
      <c r="S35" s="26" t="n">
        <f aca="false">N35-R35</f>
        <v>1.1014</v>
      </c>
      <c r="T35" s="41" t="n">
        <f aca="false">IFERROR(S35/N35,0)</f>
        <v>0.0990877521276789</v>
      </c>
      <c r="U35" s="26" t="n">
        <f aca="false">$M35*(1-INDEX('Vendor Cost Comparison'!$E$7:$E$11,MATCH($C35,'Vendor Cost Comparison'!$A$7:$A$11,0)))+INDEX('Vendor Cost Comparison'!$E$15:$E$17,MATCH($G35,'Vendor Cost Comparison'!$A$15:$A$17,0))</f>
        <v>7.7112</v>
      </c>
      <c r="V35" s="26" t="n">
        <f aca="false">N35-U35</f>
        <v>3.4042</v>
      </c>
      <c r="W35" s="41" t="n">
        <f aca="false">IFERROR(V35/N35,0)</f>
        <v>0.306259783723483</v>
      </c>
      <c r="X35" s="26" t="n">
        <f aca="false">$M35*(1-INDEX('Vendor Cost Comparison'!$F$7:$F$11,MATCH($C35,'Vendor Cost Comparison'!$A$7:$A$11,0)))+INDEX('Vendor Cost Comparison'!$F$15:$F$17,MATCH($G35,'Vendor Cost Comparison'!$A$15:$A$17,0))</f>
        <v>8.9126</v>
      </c>
      <c r="Y35" s="26" t="n">
        <f aca="false">N35-X35</f>
        <v>2.2028</v>
      </c>
      <c r="Z35" s="41" t="n">
        <f aca="false">IFERROR(Y35/N35,0)</f>
        <v>0.198175504255357</v>
      </c>
      <c r="AA35" s="44" t="s">
        <v>151</v>
      </c>
      <c r="AB35" s="44" t="s">
        <v>151</v>
      </c>
      <c r="AC35" s="44" t="s">
        <v>151</v>
      </c>
    </row>
    <row r="36" customFormat="false" ht="15" hidden="false" customHeight="false" outlineLevel="0" collapsed="false">
      <c r="A36" s="35" t="s">
        <v>264</v>
      </c>
      <c r="B36" s="35" t="s">
        <v>265</v>
      </c>
      <c r="C36" s="35" t="s">
        <v>71</v>
      </c>
      <c r="D36" s="35" t="s">
        <v>266</v>
      </c>
      <c r="E36" s="35" t="s">
        <v>267</v>
      </c>
      <c r="F36" s="35" t="s">
        <v>142</v>
      </c>
      <c r="G36" s="35" t="s">
        <v>76</v>
      </c>
      <c r="H36" s="35" t="s">
        <v>171</v>
      </c>
      <c r="I36" s="42" t="n">
        <v>45923</v>
      </c>
      <c r="J36" s="43" t="n">
        <v>0.5207</v>
      </c>
      <c r="K36" s="35" t="n">
        <v>30</v>
      </c>
      <c r="L36" s="35" t="n">
        <v>30</v>
      </c>
      <c r="M36" s="26" t="n">
        <f aca="false">J36*K36</f>
        <v>15.621</v>
      </c>
      <c r="N36" s="26" t="n">
        <f aca="false">$M36*(1-INDEX('Vendor Cost Comparison'!$B$7:$B$11,MATCH($C36,'Vendor Cost Comparison'!$A$7:$A$11,0)))+INDEX('Vendor Cost Comparison'!$B$15:$B$17,MATCH($G36,'Vendor Cost Comparison'!$A$15:$A$17,0))</f>
        <v>5.18662</v>
      </c>
      <c r="O36" s="26" t="n">
        <f aca="false">$M36*(1-INDEX('Vendor Cost Comparison'!$C$7:$C$11,MATCH($C36,'Vendor Cost Comparison'!$A$7:$A$11,0)))+INDEX('Vendor Cost Comparison'!$C$15:$C$17,MATCH($G36,'Vendor Cost Comparison'!$A$15:$A$17,0))</f>
        <v>5.59904</v>
      </c>
      <c r="P36" s="26" t="n">
        <f aca="false">N36-O36</f>
        <v>-0.412420000000001</v>
      </c>
      <c r="Q36" s="41" t="n">
        <f aca="false">IFERROR(P36/N36,0)</f>
        <v>-0.0795161396053694</v>
      </c>
      <c r="R36" s="26" t="n">
        <f aca="false">$M36*(1-INDEX('Vendor Cost Comparison'!$D$7:$D$11,MATCH($C36,'Vendor Cost Comparison'!$A$7:$A$11,0)))+INDEX('Vendor Cost Comparison'!$D$15:$D$17,MATCH($G36,'Vendor Cost Comparison'!$A$15:$A$17,0))</f>
        <v>4.6242</v>
      </c>
      <c r="S36" s="26" t="n">
        <f aca="false">N36-R36</f>
        <v>0.56242</v>
      </c>
      <c r="T36" s="41" t="n">
        <f aca="false">IFERROR(S36/N36,0)</f>
        <v>0.108436708299432</v>
      </c>
      <c r="U36" s="26" t="n">
        <f aca="false">$M36*(1-INDEX('Vendor Cost Comparison'!$E$7:$E$11,MATCH($C36,'Vendor Cost Comparison'!$A$7:$A$11,0)))+INDEX('Vendor Cost Comparison'!$E$15:$E$17,MATCH($G36,'Vendor Cost Comparison'!$A$15:$A$17,0))</f>
        <v>3.39936</v>
      </c>
      <c r="V36" s="26" t="n">
        <f aca="false">N36-U36</f>
        <v>1.78726</v>
      </c>
      <c r="W36" s="41" t="n">
        <f aca="false">IFERROR(V36/N36,0)</f>
        <v>0.344590504027671</v>
      </c>
      <c r="X36" s="26" t="n">
        <f aca="false">$M36*(1-INDEX('Vendor Cost Comparison'!$F$7:$F$11,MATCH($C36,'Vendor Cost Comparison'!$A$7:$A$11,0)))+INDEX('Vendor Cost Comparison'!$F$15:$F$17,MATCH($G36,'Vendor Cost Comparison'!$A$15:$A$17,0))</f>
        <v>4.06178</v>
      </c>
      <c r="Y36" s="26" t="n">
        <f aca="false">N36-X36</f>
        <v>1.12484</v>
      </c>
      <c r="Z36" s="41" t="n">
        <f aca="false">IFERROR(Y36/N36,0)</f>
        <v>0.216873416598864</v>
      </c>
      <c r="AA36" s="44" t="s">
        <v>151</v>
      </c>
      <c r="AB36" s="44" t="s">
        <v>151</v>
      </c>
      <c r="AC36" s="44" t="s">
        <v>151</v>
      </c>
    </row>
    <row r="37" customFormat="false" ht="15" hidden="false" customHeight="false" outlineLevel="0" collapsed="false">
      <c r="A37" s="35" t="s">
        <v>268</v>
      </c>
      <c r="B37" s="35" t="s">
        <v>252</v>
      </c>
      <c r="C37" s="35" t="s">
        <v>72</v>
      </c>
      <c r="D37" s="35" t="s">
        <v>186</v>
      </c>
      <c r="E37" s="35" t="s">
        <v>269</v>
      </c>
      <c r="F37" s="35" t="s">
        <v>149</v>
      </c>
      <c r="G37" s="35" t="s">
        <v>77</v>
      </c>
      <c r="H37" s="35" t="s">
        <v>143</v>
      </c>
      <c r="I37" s="42" t="n">
        <v>45993</v>
      </c>
      <c r="J37" s="43" t="n">
        <v>10.3357</v>
      </c>
      <c r="K37" s="35" t="n">
        <v>90</v>
      </c>
      <c r="L37" s="35" t="n">
        <v>90</v>
      </c>
      <c r="M37" s="26" t="n">
        <f aca="false">J37*K37</f>
        <v>930.213</v>
      </c>
      <c r="N37" s="26" t="n">
        <f aca="false">$M37*(1-INDEX('Vendor Cost Comparison'!$B$7:$B$11,MATCH($C37,'Vendor Cost Comparison'!$A$7:$A$11,0)))+INDEX('Vendor Cost Comparison'!$B$15:$B$17,MATCH($G37,'Vendor Cost Comparison'!$A$15:$A$17,0))</f>
        <v>744.4204</v>
      </c>
      <c r="O37" s="26" t="n">
        <f aca="false">$M37*(1-INDEX('Vendor Cost Comparison'!$C$7:$C$11,MATCH($C37,'Vendor Cost Comparison'!$A$7:$A$11,0)))+INDEX('Vendor Cost Comparison'!$C$15:$C$17,MATCH($G37,'Vendor Cost Comparison'!$A$15:$A$17,0))</f>
        <v>753.77253</v>
      </c>
      <c r="P37" s="26" t="n">
        <f aca="false">N37-O37</f>
        <v>-9.35212999999999</v>
      </c>
      <c r="Q37" s="41" t="n">
        <f aca="false">IFERROR(P37/N37,0)</f>
        <v>-0.0125629684516974</v>
      </c>
      <c r="R37" s="26" t="n">
        <f aca="false">$M37*(1-INDEX('Vendor Cost Comparison'!$D$7:$D$11,MATCH($C37,'Vendor Cost Comparison'!$A$7:$A$11,0)))+INDEX('Vendor Cost Comparison'!$D$15:$D$17,MATCH($G37,'Vendor Cost Comparison'!$A$15:$A$17,0))</f>
        <v>734.86827</v>
      </c>
      <c r="S37" s="26" t="n">
        <f aca="false">N37-R37</f>
        <v>9.55212999999992</v>
      </c>
      <c r="T37" s="41" t="n">
        <f aca="false">IFERROR(S37/N37,0)</f>
        <v>0.0128316338456065</v>
      </c>
      <c r="U37" s="26" t="n">
        <f aca="false">$M37*(1-INDEX('Vendor Cost Comparison'!$E$7:$E$11,MATCH($C37,'Vendor Cost Comparison'!$A$7:$A$11,0)))+INDEX('Vendor Cost Comparison'!$E$15:$E$17,MATCH($G37,'Vendor Cost Comparison'!$A$15:$A$17,0))</f>
        <v>706.96188</v>
      </c>
      <c r="V37" s="26" t="n">
        <f aca="false">N37-U37</f>
        <v>37.45852</v>
      </c>
      <c r="W37" s="41" t="n">
        <f aca="false">IFERROR(V37/N37,0)</f>
        <v>0.0503190401552671</v>
      </c>
      <c r="X37" s="26" t="n">
        <f aca="false">$M37*(1-INDEX('Vendor Cost Comparison'!$F$7:$F$11,MATCH($C37,'Vendor Cost Comparison'!$A$7:$A$11,0)))+INDEX('Vendor Cost Comparison'!$F$15:$F$17,MATCH($G37,'Vendor Cost Comparison'!$A$15:$A$17,0))</f>
        <v>725.66614</v>
      </c>
      <c r="Y37" s="26" t="n">
        <f aca="false">N37-X37</f>
        <v>18.7542599999999</v>
      </c>
      <c r="Z37" s="41" t="n">
        <f aca="false">IFERROR(Y37/N37,0)</f>
        <v>0.0251931032518721</v>
      </c>
      <c r="AA37" s="44" t="s">
        <v>144</v>
      </c>
      <c r="AB37" s="44" t="s">
        <v>144</v>
      </c>
      <c r="AC37" s="44" t="s">
        <v>144</v>
      </c>
    </row>
    <row r="38" customFormat="false" ht="15" hidden="false" customHeight="false" outlineLevel="0" collapsed="false">
      <c r="A38" s="35" t="s">
        <v>270</v>
      </c>
      <c r="B38" s="35" t="s">
        <v>271</v>
      </c>
      <c r="C38" s="35" t="s">
        <v>74</v>
      </c>
      <c r="D38" s="35" t="s">
        <v>246</v>
      </c>
      <c r="E38" s="35" t="s">
        <v>272</v>
      </c>
      <c r="F38" s="35" t="s">
        <v>149</v>
      </c>
      <c r="G38" s="35" t="s">
        <v>78</v>
      </c>
      <c r="H38" s="35" t="s">
        <v>217</v>
      </c>
      <c r="I38" s="42" t="n">
        <v>46113</v>
      </c>
      <c r="J38" s="43" t="n">
        <v>14904.02</v>
      </c>
      <c r="K38" s="35" t="n">
        <v>1</v>
      </c>
      <c r="L38" s="35" t="n">
        <v>30</v>
      </c>
      <c r="M38" s="26" t="n">
        <f aca="false">J38*K38</f>
        <v>14904.02</v>
      </c>
      <c r="N38" s="26" t="n">
        <f aca="false">$M38*(1-INDEX('Vendor Cost Comparison'!$B$7:$B$11,MATCH($C38,'Vendor Cost Comparison'!$A$7:$A$11,0)))+INDEX('Vendor Cost Comparison'!$B$15:$B$17,MATCH($G38,'Vendor Cost Comparison'!$A$15:$A$17,0))</f>
        <v>12668.417</v>
      </c>
      <c r="O38" s="26" t="n">
        <f aca="false">$M38*(1-INDEX('Vendor Cost Comparison'!$C$7:$C$11,MATCH($C38,'Vendor Cost Comparison'!$A$7:$A$11,0)))+INDEX('Vendor Cost Comparison'!$C$15:$C$17,MATCH($G38,'Vendor Cost Comparison'!$A$15:$A$17,0))</f>
        <v>12817.4572</v>
      </c>
      <c r="P38" s="26" t="n">
        <f aca="false">N38-O38</f>
        <v>-149.040200000001</v>
      </c>
      <c r="Q38" s="41" t="n">
        <f aca="false">IFERROR(P38/N38,0)</f>
        <v>-0.011764705882353</v>
      </c>
      <c r="R38" s="26" t="n">
        <f aca="false">$M38*(1-INDEX('Vendor Cost Comparison'!$D$7:$D$11,MATCH($C38,'Vendor Cost Comparison'!$A$7:$A$11,0)))+INDEX('Vendor Cost Comparison'!$D$15:$D$17,MATCH($G38,'Vendor Cost Comparison'!$A$15:$A$17,0))</f>
        <v>12519.3768</v>
      </c>
      <c r="S38" s="26" t="n">
        <f aca="false">N38-R38</f>
        <v>149.040199999999</v>
      </c>
      <c r="T38" s="41" t="n">
        <f aca="false">IFERROR(S38/N38,0)</f>
        <v>0.0117647058823529</v>
      </c>
      <c r="U38" s="26" t="n">
        <f aca="false">$M38*(1-INDEX('Vendor Cost Comparison'!$E$7:$E$11,MATCH($C38,'Vendor Cost Comparison'!$A$7:$A$11,0)))+INDEX('Vendor Cost Comparison'!$E$15:$E$17,MATCH($G38,'Vendor Cost Comparison'!$A$15:$A$17,0))</f>
        <v>12370.3366</v>
      </c>
      <c r="V38" s="26" t="n">
        <f aca="false">N38-U38</f>
        <v>298.080399999999</v>
      </c>
      <c r="W38" s="41" t="n">
        <f aca="false">IFERROR(V38/N38,0)</f>
        <v>0.0235294117647058</v>
      </c>
      <c r="X38" s="26" t="n">
        <f aca="false">$M38*(1-INDEX('Vendor Cost Comparison'!$F$7:$F$11,MATCH($C38,'Vendor Cost Comparison'!$A$7:$A$11,0)))+INDEX('Vendor Cost Comparison'!$F$15:$F$17,MATCH($G38,'Vendor Cost Comparison'!$A$15:$A$17,0))</f>
        <v>11923.216</v>
      </c>
      <c r="Y38" s="26" t="n">
        <f aca="false">N38-X38</f>
        <v>745.200999999999</v>
      </c>
      <c r="Z38" s="41" t="n">
        <f aca="false">IFERROR(Y38/N38,0)</f>
        <v>0.0588235294117646</v>
      </c>
      <c r="AA38" s="44" t="s">
        <v>144</v>
      </c>
      <c r="AB38" s="44" t="s">
        <v>144</v>
      </c>
      <c r="AC38" s="44" t="s">
        <v>144</v>
      </c>
    </row>
    <row r="39" customFormat="false" ht="15" hidden="false" customHeight="false" outlineLevel="0" collapsed="false">
      <c r="A39" s="35" t="s">
        <v>273</v>
      </c>
      <c r="B39" s="35" t="s">
        <v>274</v>
      </c>
      <c r="C39" s="35" t="s">
        <v>71</v>
      </c>
      <c r="D39" s="35" t="s">
        <v>164</v>
      </c>
      <c r="E39" s="35" t="s">
        <v>275</v>
      </c>
      <c r="F39" s="35" t="s">
        <v>142</v>
      </c>
      <c r="G39" s="35" t="s">
        <v>76</v>
      </c>
      <c r="H39" s="35" t="s">
        <v>171</v>
      </c>
      <c r="I39" s="42" t="n">
        <v>45958</v>
      </c>
      <c r="J39" s="43" t="n">
        <v>1.1103</v>
      </c>
      <c r="K39" s="35" t="n">
        <v>30</v>
      </c>
      <c r="L39" s="35" t="n">
        <v>30</v>
      </c>
      <c r="M39" s="26" t="n">
        <f aca="false">J39*K39</f>
        <v>33.309</v>
      </c>
      <c r="N39" s="26" t="n">
        <f aca="false">$M39*(1-INDEX('Vendor Cost Comparison'!$B$7:$B$11,MATCH($C39,'Vendor Cost Comparison'!$A$7:$A$11,0)))+INDEX('Vendor Cost Comparison'!$B$15:$B$17,MATCH($G39,'Vendor Cost Comparison'!$A$15:$A$17,0))</f>
        <v>9.07798</v>
      </c>
      <c r="O39" s="26" t="n">
        <f aca="false">$M39*(1-INDEX('Vendor Cost Comparison'!$C$7:$C$11,MATCH($C39,'Vendor Cost Comparison'!$A$7:$A$11,0)))+INDEX('Vendor Cost Comparison'!$C$15:$C$17,MATCH($G39,'Vendor Cost Comparison'!$A$15:$A$17,0))</f>
        <v>9.84416</v>
      </c>
      <c r="P39" s="26" t="n">
        <f aca="false">N39-O39</f>
        <v>-0.76618</v>
      </c>
      <c r="Q39" s="41" t="n">
        <f aca="false">IFERROR(P39/N39,0)</f>
        <v>-0.0843998334431228</v>
      </c>
      <c r="R39" s="26" t="n">
        <f aca="false">$M39*(1-INDEX('Vendor Cost Comparison'!$D$7:$D$11,MATCH($C39,'Vendor Cost Comparison'!$A$7:$A$11,0)))+INDEX('Vendor Cost Comparison'!$D$15:$D$17,MATCH($G39,'Vendor Cost Comparison'!$A$15:$A$17,0))</f>
        <v>8.1618</v>
      </c>
      <c r="S39" s="26" t="n">
        <f aca="false">N39-R39</f>
        <v>0.916180000000001</v>
      </c>
      <c r="T39" s="41" t="n">
        <f aca="false">IFERROR(S39/N39,0)</f>
        <v>0.100923333164427</v>
      </c>
      <c r="U39" s="26" t="n">
        <f aca="false">$M39*(1-INDEX('Vendor Cost Comparison'!$E$7:$E$11,MATCH($C39,'Vendor Cost Comparison'!$A$7:$A$11,0)))+INDEX('Vendor Cost Comparison'!$E$15:$E$17,MATCH($G39,'Vendor Cost Comparison'!$A$15:$A$17,0))</f>
        <v>6.22944</v>
      </c>
      <c r="V39" s="26" t="n">
        <f aca="false">N39-U39</f>
        <v>2.84854</v>
      </c>
      <c r="W39" s="41" t="n">
        <f aca="false">IFERROR(V39/N39,0)</f>
        <v>0.313785665974148</v>
      </c>
      <c r="X39" s="26" t="n">
        <f aca="false">$M39*(1-INDEX('Vendor Cost Comparison'!$F$7:$F$11,MATCH($C39,'Vendor Cost Comparison'!$A$7:$A$11,0)))+INDEX('Vendor Cost Comparison'!$F$15:$F$17,MATCH($G39,'Vendor Cost Comparison'!$A$15:$A$17,0))</f>
        <v>7.24562</v>
      </c>
      <c r="Y39" s="26" t="n">
        <f aca="false">N39-X39</f>
        <v>1.83236</v>
      </c>
      <c r="Z39" s="41" t="n">
        <f aca="false">IFERROR(Y39/N39,0)</f>
        <v>0.201846666328853</v>
      </c>
      <c r="AA39" s="44" t="s">
        <v>151</v>
      </c>
      <c r="AB39" s="44" t="s">
        <v>151</v>
      </c>
      <c r="AC39" s="44" t="s">
        <v>151</v>
      </c>
    </row>
    <row r="40" customFormat="false" ht="15" hidden="false" customHeight="false" outlineLevel="0" collapsed="false">
      <c r="A40" s="35" t="s">
        <v>276</v>
      </c>
      <c r="B40" s="35" t="s">
        <v>154</v>
      </c>
      <c r="C40" s="35" t="s">
        <v>71</v>
      </c>
      <c r="D40" s="35" t="s">
        <v>174</v>
      </c>
      <c r="E40" s="35" t="s">
        <v>277</v>
      </c>
      <c r="F40" s="35" t="s">
        <v>142</v>
      </c>
      <c r="G40" s="35" t="s">
        <v>76</v>
      </c>
      <c r="H40" s="35" t="s">
        <v>156</v>
      </c>
      <c r="I40" s="42" t="n">
        <v>46111</v>
      </c>
      <c r="J40" s="43" t="n">
        <v>1.947</v>
      </c>
      <c r="K40" s="35" t="n">
        <v>30</v>
      </c>
      <c r="L40" s="35" t="n">
        <v>30</v>
      </c>
      <c r="M40" s="26" t="n">
        <f aca="false">J40*K40</f>
        <v>58.41</v>
      </c>
      <c r="N40" s="26" t="n">
        <f aca="false">$M40*(1-INDEX('Vendor Cost Comparison'!$B$7:$B$11,MATCH($C40,'Vendor Cost Comparison'!$A$7:$A$11,0)))+INDEX('Vendor Cost Comparison'!$B$15:$B$17,MATCH($G40,'Vendor Cost Comparison'!$A$15:$A$17,0))</f>
        <v>14.6002</v>
      </c>
      <c r="O40" s="26" t="n">
        <f aca="false">$M40*(1-INDEX('Vendor Cost Comparison'!$C$7:$C$11,MATCH($C40,'Vendor Cost Comparison'!$A$7:$A$11,0)))+INDEX('Vendor Cost Comparison'!$C$15:$C$17,MATCH($G40,'Vendor Cost Comparison'!$A$15:$A$17,0))</f>
        <v>15.8684</v>
      </c>
      <c r="P40" s="26" t="n">
        <f aca="false">N40-O40</f>
        <v>-1.2682</v>
      </c>
      <c r="Q40" s="41" t="n">
        <f aca="false">IFERROR(P40/N40,0)</f>
        <v>-0.0868618238106328</v>
      </c>
      <c r="R40" s="26" t="n">
        <f aca="false">$M40*(1-INDEX('Vendor Cost Comparison'!$D$7:$D$11,MATCH($C40,'Vendor Cost Comparison'!$A$7:$A$11,0)))+INDEX('Vendor Cost Comparison'!$D$15:$D$17,MATCH($G40,'Vendor Cost Comparison'!$A$15:$A$17,0))</f>
        <v>13.182</v>
      </c>
      <c r="S40" s="26" t="n">
        <f aca="false">N40-R40</f>
        <v>1.4182</v>
      </c>
      <c r="T40" s="41" t="n">
        <f aca="false">IFERROR(S40/N40,0)</f>
        <v>0.0971356556759497</v>
      </c>
      <c r="U40" s="26" t="n">
        <f aca="false">$M40*(1-INDEX('Vendor Cost Comparison'!$E$7:$E$11,MATCH($C40,'Vendor Cost Comparison'!$A$7:$A$11,0)))+INDEX('Vendor Cost Comparison'!$E$15:$E$17,MATCH($G40,'Vendor Cost Comparison'!$A$15:$A$17,0))</f>
        <v>10.2456</v>
      </c>
      <c r="V40" s="26" t="n">
        <f aca="false">N40-U40</f>
        <v>4.3546</v>
      </c>
      <c r="W40" s="41" t="n">
        <f aca="false">IFERROR(V40/N40,0)</f>
        <v>0.298256188271393</v>
      </c>
      <c r="X40" s="26" t="n">
        <f aca="false">$M40*(1-INDEX('Vendor Cost Comparison'!$F$7:$F$11,MATCH($C40,'Vendor Cost Comparison'!$A$7:$A$11,0)))+INDEX('Vendor Cost Comparison'!$F$15:$F$17,MATCH($G40,'Vendor Cost Comparison'!$A$15:$A$17,0))</f>
        <v>11.7638</v>
      </c>
      <c r="Y40" s="26" t="n">
        <f aca="false">N40-X40</f>
        <v>2.8364</v>
      </c>
      <c r="Z40" s="41" t="n">
        <f aca="false">IFERROR(Y40/N40,0)</f>
        <v>0.194271311351899</v>
      </c>
      <c r="AA40" s="44" t="s">
        <v>151</v>
      </c>
      <c r="AB40" s="44" t="s">
        <v>151</v>
      </c>
      <c r="AC40" s="44" t="s">
        <v>151</v>
      </c>
    </row>
    <row r="41" customFormat="false" ht="15" hidden="false" customHeight="false" outlineLevel="0" collapsed="false">
      <c r="A41" s="35" t="s">
        <v>278</v>
      </c>
      <c r="B41" s="35" t="s">
        <v>154</v>
      </c>
      <c r="C41" s="35" t="s">
        <v>70</v>
      </c>
      <c r="D41" s="35" t="s">
        <v>229</v>
      </c>
      <c r="E41" s="35" t="s">
        <v>279</v>
      </c>
      <c r="F41" s="35" t="s">
        <v>149</v>
      </c>
      <c r="G41" s="35" t="s">
        <v>76</v>
      </c>
      <c r="H41" s="35" t="s">
        <v>255</v>
      </c>
      <c r="I41" s="42" t="n">
        <v>45991</v>
      </c>
      <c r="J41" s="43" t="n">
        <v>6.965</v>
      </c>
      <c r="K41" s="35" t="n">
        <v>30</v>
      </c>
      <c r="L41" s="35" t="n">
        <v>30</v>
      </c>
      <c r="M41" s="26" t="n">
        <f aca="false">J41*K41</f>
        <v>208.95</v>
      </c>
      <c r="N41" s="26" t="n">
        <f aca="false">$M41*(1-INDEX('Vendor Cost Comparison'!$B$7:$B$11,MATCH($C41,'Vendor Cost Comparison'!$A$7:$A$11,0)))+INDEX('Vendor Cost Comparison'!$B$15:$B$17,MATCH($G41,'Vendor Cost Comparison'!$A$15:$A$17,0))</f>
        <v>175.1785</v>
      </c>
      <c r="O41" s="26" t="n">
        <f aca="false">$M41*(1-INDEX('Vendor Cost Comparison'!$C$7:$C$11,MATCH($C41,'Vendor Cost Comparison'!$A$7:$A$11,0)))+INDEX('Vendor Cost Comparison'!$C$15:$C$17,MATCH($G41,'Vendor Cost Comparison'!$A$15:$A$17,0))</f>
        <v>177.368</v>
      </c>
      <c r="P41" s="26" t="n">
        <f aca="false">N41-O41</f>
        <v>-2.18949999999998</v>
      </c>
      <c r="Q41" s="41" t="n">
        <f aca="false">IFERROR(P41/N41,0)</f>
        <v>-0.0124986799179122</v>
      </c>
      <c r="R41" s="26" t="n">
        <f aca="false">$M41*(1-INDEX('Vendor Cost Comparison'!$D$7:$D$11,MATCH($C41,'Vendor Cost Comparison'!$A$7:$A$11,0)))+INDEX('Vendor Cost Comparison'!$D$15:$D$17,MATCH($G41,'Vendor Cost Comparison'!$A$15:$A$17,0))</f>
        <v>172.839</v>
      </c>
      <c r="S41" s="26" t="n">
        <f aca="false">N41-R41</f>
        <v>2.33949999999999</v>
      </c>
      <c r="T41" s="41" t="n">
        <f aca="false">IFERROR(S41/N41,0)</f>
        <v>0.0133549493802035</v>
      </c>
      <c r="U41" s="26" t="n">
        <f aca="false">$M41*(1-INDEX('Vendor Cost Comparison'!$E$7:$E$11,MATCH($C41,'Vendor Cost Comparison'!$A$7:$A$11,0)))+INDEX('Vendor Cost Comparison'!$E$15:$E$17,MATCH($G41,'Vendor Cost Comparison'!$A$15:$A$17,0))</f>
        <v>168.06</v>
      </c>
      <c r="V41" s="26" t="n">
        <f aca="false">N41-U41</f>
        <v>7.11849999999998</v>
      </c>
      <c r="W41" s="41" t="n">
        <f aca="false">IFERROR(V41/N41,0)</f>
        <v>0.040635694448805</v>
      </c>
      <c r="X41" s="26" t="n">
        <f aca="false">$M41*(1-INDEX('Vendor Cost Comparison'!$F$7:$F$11,MATCH($C41,'Vendor Cost Comparison'!$A$7:$A$11,0)))+INDEX('Vendor Cost Comparison'!$F$15:$F$17,MATCH($G41,'Vendor Cost Comparison'!$A$15:$A$17,0))</f>
        <v>170.4995</v>
      </c>
      <c r="Y41" s="26" t="n">
        <f aca="false">N41-X41</f>
        <v>4.67899999999997</v>
      </c>
      <c r="Z41" s="41" t="n">
        <f aca="false">IFERROR(Y41/N41,0)</f>
        <v>0.0267098987604071</v>
      </c>
      <c r="AA41" s="44" t="s">
        <v>151</v>
      </c>
      <c r="AB41" s="44" t="s">
        <v>151</v>
      </c>
      <c r="AC41" s="44" t="s">
        <v>151</v>
      </c>
    </row>
    <row r="42" customFormat="false" ht="15" hidden="false" customHeight="false" outlineLevel="0" collapsed="false">
      <c r="A42" s="35" t="s">
        <v>280</v>
      </c>
      <c r="B42" s="35" t="s">
        <v>281</v>
      </c>
      <c r="C42" s="35" t="s">
        <v>71</v>
      </c>
      <c r="D42" s="35" t="s">
        <v>159</v>
      </c>
      <c r="E42" s="35" t="s">
        <v>282</v>
      </c>
      <c r="F42" s="35" t="s">
        <v>142</v>
      </c>
      <c r="G42" s="35" t="s">
        <v>76</v>
      </c>
      <c r="H42" s="35" t="s">
        <v>166</v>
      </c>
      <c r="I42" s="42" t="n">
        <v>46096</v>
      </c>
      <c r="J42" s="43" t="n">
        <v>2.0307</v>
      </c>
      <c r="K42" s="35" t="n">
        <v>30</v>
      </c>
      <c r="L42" s="35" t="n">
        <v>30</v>
      </c>
      <c r="M42" s="26" t="n">
        <f aca="false">J42*K42</f>
        <v>60.921</v>
      </c>
      <c r="N42" s="26" t="n">
        <f aca="false">$M42*(1-INDEX('Vendor Cost Comparison'!$B$7:$B$11,MATCH($C42,'Vendor Cost Comparison'!$A$7:$A$11,0)))+INDEX('Vendor Cost Comparison'!$B$15:$B$17,MATCH($G42,'Vendor Cost Comparison'!$A$15:$A$17,0))</f>
        <v>15.15262</v>
      </c>
      <c r="O42" s="26" t="n">
        <f aca="false">$M42*(1-INDEX('Vendor Cost Comparison'!$C$7:$C$11,MATCH($C42,'Vendor Cost Comparison'!$A$7:$A$11,0)))+INDEX('Vendor Cost Comparison'!$C$15:$C$17,MATCH($G42,'Vendor Cost Comparison'!$A$15:$A$17,0))</f>
        <v>16.47104</v>
      </c>
      <c r="P42" s="26" t="n">
        <f aca="false">N42-O42</f>
        <v>-1.31842</v>
      </c>
      <c r="Q42" s="41" t="n">
        <f aca="false">IFERROR(P42/N42,0)</f>
        <v>-0.0870093752763548</v>
      </c>
      <c r="R42" s="26" t="n">
        <f aca="false">$M42*(1-INDEX('Vendor Cost Comparison'!$D$7:$D$11,MATCH($C42,'Vendor Cost Comparison'!$A$7:$A$11,0)))+INDEX('Vendor Cost Comparison'!$D$15:$D$17,MATCH($G42,'Vendor Cost Comparison'!$A$15:$A$17,0))</f>
        <v>13.6842</v>
      </c>
      <c r="S42" s="26" t="n">
        <f aca="false">N42-R42</f>
        <v>1.46842</v>
      </c>
      <c r="T42" s="41" t="n">
        <f aca="false">IFERROR(S42/N42,0)</f>
        <v>0.0969086534209927</v>
      </c>
      <c r="U42" s="26" t="n">
        <f aca="false">$M42*(1-INDEX('Vendor Cost Comparison'!$E$7:$E$11,MATCH($C42,'Vendor Cost Comparison'!$A$7:$A$11,0)))+INDEX('Vendor Cost Comparison'!$E$15:$E$17,MATCH($G42,'Vendor Cost Comparison'!$A$15:$A$17,0))</f>
        <v>10.64736</v>
      </c>
      <c r="V42" s="26" t="n">
        <f aca="false">N42-U42</f>
        <v>4.50526</v>
      </c>
      <c r="W42" s="41" t="n">
        <f aca="false">IFERROR(V42/N42,0)</f>
        <v>0.297325479026069</v>
      </c>
      <c r="X42" s="26" t="n">
        <f aca="false">$M42*(1-INDEX('Vendor Cost Comparison'!$F$7:$F$11,MATCH($C42,'Vendor Cost Comparison'!$A$7:$A$11,0)))+INDEX('Vendor Cost Comparison'!$F$15:$F$17,MATCH($G42,'Vendor Cost Comparison'!$A$15:$A$17,0))</f>
        <v>12.21578</v>
      </c>
      <c r="Y42" s="26" t="n">
        <f aca="false">N42-X42</f>
        <v>2.93684</v>
      </c>
      <c r="Z42" s="41" t="n">
        <f aca="false">IFERROR(Y42/N42,0)</f>
        <v>0.193817306841985</v>
      </c>
      <c r="AA42" s="44" t="s">
        <v>151</v>
      </c>
      <c r="AB42" s="44" t="s">
        <v>152</v>
      </c>
      <c r="AC42" s="44" t="s">
        <v>151</v>
      </c>
    </row>
    <row r="43" customFormat="false" ht="15" hidden="false" customHeight="false" outlineLevel="0" collapsed="false">
      <c r="A43" s="35" t="s">
        <v>283</v>
      </c>
      <c r="B43" s="35" t="s">
        <v>139</v>
      </c>
      <c r="C43" s="35" t="s">
        <v>73</v>
      </c>
      <c r="D43" s="35" t="s">
        <v>194</v>
      </c>
      <c r="E43" s="35" t="s">
        <v>284</v>
      </c>
      <c r="F43" s="35" t="s">
        <v>142</v>
      </c>
      <c r="G43" s="35" t="s">
        <v>77</v>
      </c>
      <c r="H43" s="35" t="s">
        <v>143</v>
      </c>
      <c r="I43" s="42" t="n">
        <v>46008</v>
      </c>
      <c r="J43" s="43" t="n">
        <v>1.5237</v>
      </c>
      <c r="K43" s="35" t="n">
        <v>90</v>
      </c>
      <c r="L43" s="35" t="n">
        <v>90</v>
      </c>
      <c r="M43" s="26" t="n">
        <f aca="false">J43*K43</f>
        <v>137.133</v>
      </c>
      <c r="N43" s="26" t="n">
        <f aca="false">$M43*(1-INDEX('Vendor Cost Comparison'!$B$7:$B$11,MATCH($C43,'Vendor Cost Comparison'!$A$7:$A$11,0)))+INDEX('Vendor Cost Comparison'!$B$15:$B$17,MATCH($G43,'Vendor Cost Comparison'!$A$15:$A$17,0))</f>
        <v>24.93394</v>
      </c>
      <c r="O43" s="26" t="n">
        <f aca="false">$M43*(1-INDEX('Vendor Cost Comparison'!$C$7:$C$11,MATCH($C43,'Vendor Cost Comparison'!$A$7:$A$11,0)))+INDEX('Vendor Cost Comparison'!$C$15:$C$17,MATCH($G43,'Vendor Cost Comparison'!$A$15:$A$17,0))</f>
        <v>27.7266</v>
      </c>
      <c r="P43" s="26" t="n">
        <f aca="false">N43-O43</f>
        <v>-2.79265999999999</v>
      </c>
      <c r="Q43" s="41" t="n">
        <f aca="false">IFERROR(P43/N43,0)</f>
        <v>-0.112002355022912</v>
      </c>
      <c r="R43" s="26" t="n">
        <f aca="false">$M43*(1-INDEX('Vendor Cost Comparison'!$D$7:$D$11,MATCH($C43,'Vendor Cost Comparison'!$A$7:$A$11,0)))+INDEX('Vendor Cost Comparison'!$D$15:$D$17,MATCH($G43,'Vendor Cost Comparison'!$A$15:$A$17,0))</f>
        <v>23.31261</v>
      </c>
      <c r="S43" s="26" t="n">
        <f aca="false">N43-R43</f>
        <v>1.62133</v>
      </c>
      <c r="T43" s="41" t="n">
        <f aca="false">IFERROR(S43/N43,0)</f>
        <v>0.0650250221184458</v>
      </c>
      <c r="U43" s="26" t="n">
        <f aca="false">$M43*(1-INDEX('Vendor Cost Comparison'!$E$7:$E$11,MATCH($C43,'Vendor Cost Comparison'!$A$7:$A$11,0)))+INDEX('Vendor Cost Comparison'!$E$15:$E$17,MATCH($G43,'Vendor Cost Comparison'!$A$15:$A$17,0))</f>
        <v>17.82729</v>
      </c>
      <c r="V43" s="26" t="n">
        <f aca="false">N43-U43</f>
        <v>7.10665000000001</v>
      </c>
      <c r="W43" s="41" t="n">
        <f aca="false">IFERROR(V43/N43,0)</f>
        <v>0.285019134561165</v>
      </c>
      <c r="X43" s="26" t="n">
        <f aca="false">$M43*(1-INDEX('Vendor Cost Comparison'!$F$7:$F$11,MATCH($C43,'Vendor Cost Comparison'!$A$7:$A$11,0)))+INDEX('Vendor Cost Comparison'!$F$15:$F$17,MATCH($G43,'Vendor Cost Comparison'!$A$15:$A$17,0))</f>
        <v>20.66995</v>
      </c>
      <c r="Y43" s="26" t="n">
        <f aca="false">N43-X43</f>
        <v>4.26399</v>
      </c>
      <c r="Z43" s="41" t="n">
        <f aca="false">IFERROR(Y43/N43,0)</f>
        <v>0.171011480736699</v>
      </c>
      <c r="AA43" s="44" t="s">
        <v>144</v>
      </c>
      <c r="AB43" s="44" t="s">
        <v>144</v>
      </c>
      <c r="AC43" s="44" t="s">
        <v>144</v>
      </c>
    </row>
    <row r="44" customFormat="false" ht="15" hidden="false" customHeight="false" outlineLevel="0" collapsed="false">
      <c r="A44" s="35" t="s">
        <v>285</v>
      </c>
      <c r="B44" s="35" t="s">
        <v>286</v>
      </c>
      <c r="C44" s="35" t="s">
        <v>71</v>
      </c>
      <c r="D44" s="35" t="s">
        <v>169</v>
      </c>
      <c r="E44" s="35" t="s">
        <v>287</v>
      </c>
      <c r="F44" s="35" t="s">
        <v>142</v>
      </c>
      <c r="G44" s="35" t="s">
        <v>76</v>
      </c>
      <c r="H44" s="35" t="s">
        <v>156</v>
      </c>
      <c r="I44" s="42" t="n">
        <v>46085</v>
      </c>
      <c r="J44" s="43" t="n">
        <v>0.705</v>
      </c>
      <c r="K44" s="35" t="n">
        <v>30</v>
      </c>
      <c r="L44" s="35" t="n">
        <v>30</v>
      </c>
      <c r="M44" s="26" t="n">
        <f aca="false">J44*K44</f>
        <v>21.15</v>
      </c>
      <c r="N44" s="26" t="n">
        <f aca="false">$M44*(1-INDEX('Vendor Cost Comparison'!$B$7:$B$11,MATCH($C44,'Vendor Cost Comparison'!$A$7:$A$11,0)))+INDEX('Vendor Cost Comparison'!$B$15:$B$17,MATCH($G44,'Vendor Cost Comparison'!$A$15:$A$17,0))</f>
        <v>6.403</v>
      </c>
      <c r="O44" s="26" t="n">
        <f aca="false">$M44*(1-INDEX('Vendor Cost Comparison'!$C$7:$C$11,MATCH($C44,'Vendor Cost Comparison'!$A$7:$A$11,0)))+INDEX('Vendor Cost Comparison'!$C$15:$C$17,MATCH($G44,'Vendor Cost Comparison'!$A$15:$A$17,0))</f>
        <v>6.926</v>
      </c>
      <c r="P44" s="26" t="n">
        <f aca="false">N44-O44</f>
        <v>-0.523000000000002</v>
      </c>
      <c r="Q44" s="41" t="n">
        <f aca="false">IFERROR(P44/N44,0)</f>
        <v>-0.0816804622833049</v>
      </c>
      <c r="R44" s="26" t="n">
        <f aca="false">$M44*(1-INDEX('Vendor Cost Comparison'!$D$7:$D$11,MATCH($C44,'Vendor Cost Comparison'!$A$7:$A$11,0)))+INDEX('Vendor Cost Comparison'!$D$15:$D$17,MATCH($G44,'Vendor Cost Comparison'!$A$15:$A$17,0))</f>
        <v>5.73</v>
      </c>
      <c r="S44" s="26" t="n">
        <f aca="false">N44-R44</f>
        <v>0.673</v>
      </c>
      <c r="T44" s="41" t="n">
        <f aca="false">IFERROR(S44/N44,0)</f>
        <v>0.105106981102608</v>
      </c>
      <c r="U44" s="26" t="n">
        <f aca="false">$M44*(1-INDEX('Vendor Cost Comparison'!$E$7:$E$11,MATCH($C44,'Vendor Cost Comparison'!$A$7:$A$11,0)))+INDEX('Vendor Cost Comparison'!$E$15:$E$17,MATCH($G44,'Vendor Cost Comparison'!$A$15:$A$17,0))</f>
        <v>4.284</v>
      </c>
      <c r="V44" s="26" t="n">
        <f aca="false">N44-U44</f>
        <v>2.119</v>
      </c>
      <c r="W44" s="41" t="n">
        <f aca="false">IFERROR(V44/N44,0)</f>
        <v>0.330938622520693</v>
      </c>
      <c r="X44" s="26" t="n">
        <f aca="false">$M44*(1-INDEX('Vendor Cost Comparison'!$F$7:$F$11,MATCH($C44,'Vendor Cost Comparison'!$A$7:$A$11,0)))+INDEX('Vendor Cost Comparison'!$F$15:$F$17,MATCH($G44,'Vendor Cost Comparison'!$A$15:$A$17,0))</f>
        <v>5.057</v>
      </c>
      <c r="Y44" s="26" t="n">
        <f aca="false">N44-X44</f>
        <v>1.346</v>
      </c>
      <c r="Z44" s="41" t="n">
        <f aca="false">IFERROR(Y44/N44,0)</f>
        <v>0.210213962205216</v>
      </c>
      <c r="AA44" s="44" t="s">
        <v>151</v>
      </c>
      <c r="AB44" s="44" t="s">
        <v>151</v>
      </c>
      <c r="AC44" s="44" t="s">
        <v>151</v>
      </c>
    </row>
    <row r="45" customFormat="false" ht="15" hidden="false" customHeight="false" outlineLevel="0" collapsed="false">
      <c r="A45" s="35" t="s">
        <v>288</v>
      </c>
      <c r="B45" s="35" t="s">
        <v>289</v>
      </c>
      <c r="C45" s="35" t="s">
        <v>71</v>
      </c>
      <c r="D45" s="35" t="s">
        <v>260</v>
      </c>
      <c r="E45" s="35" t="s">
        <v>290</v>
      </c>
      <c r="F45" s="35" t="s">
        <v>142</v>
      </c>
      <c r="G45" s="35" t="s">
        <v>76</v>
      </c>
      <c r="H45" s="35" t="s">
        <v>171</v>
      </c>
      <c r="I45" s="42" t="n">
        <v>45903</v>
      </c>
      <c r="J45" s="43" t="n">
        <v>2.4843</v>
      </c>
      <c r="K45" s="35" t="n">
        <v>30</v>
      </c>
      <c r="L45" s="35" t="n">
        <v>30</v>
      </c>
      <c r="M45" s="26" t="n">
        <f aca="false">J45*K45</f>
        <v>74.529</v>
      </c>
      <c r="N45" s="26" t="n">
        <f aca="false">$M45*(1-INDEX('Vendor Cost Comparison'!$B$7:$B$11,MATCH($C45,'Vendor Cost Comparison'!$A$7:$A$11,0)))+INDEX('Vendor Cost Comparison'!$B$15:$B$17,MATCH($G45,'Vendor Cost Comparison'!$A$15:$A$17,0))</f>
        <v>18.14638</v>
      </c>
      <c r="O45" s="26" t="n">
        <f aca="false">$M45*(1-INDEX('Vendor Cost Comparison'!$C$7:$C$11,MATCH($C45,'Vendor Cost Comparison'!$A$7:$A$11,0)))+INDEX('Vendor Cost Comparison'!$C$15:$C$17,MATCH($G45,'Vendor Cost Comparison'!$A$15:$A$17,0))</f>
        <v>19.73696</v>
      </c>
      <c r="P45" s="26" t="n">
        <f aca="false">N45-O45</f>
        <v>-1.59058</v>
      </c>
      <c r="Q45" s="41" t="n">
        <f aca="false">IFERROR(P45/N45,0)</f>
        <v>-0.0876527439632589</v>
      </c>
      <c r="R45" s="26" t="n">
        <f aca="false">$M45*(1-INDEX('Vendor Cost Comparison'!$D$7:$D$11,MATCH($C45,'Vendor Cost Comparison'!$A$7:$A$11,0)))+INDEX('Vendor Cost Comparison'!$D$15:$D$17,MATCH($G45,'Vendor Cost Comparison'!$A$15:$A$17,0))</f>
        <v>16.4058</v>
      </c>
      <c r="S45" s="26" t="n">
        <f aca="false">N45-R45</f>
        <v>1.74058</v>
      </c>
      <c r="T45" s="41" t="n">
        <f aca="false">IFERROR(S45/N45,0)</f>
        <v>0.0959188554411404</v>
      </c>
      <c r="U45" s="26" t="n">
        <f aca="false">$M45*(1-INDEX('Vendor Cost Comparison'!$E$7:$E$11,MATCH($C45,'Vendor Cost Comparison'!$A$7:$A$11,0)))+INDEX('Vendor Cost Comparison'!$E$15:$E$17,MATCH($G45,'Vendor Cost Comparison'!$A$15:$A$17,0))</f>
        <v>12.82464</v>
      </c>
      <c r="V45" s="26" t="n">
        <f aca="false">N45-U45</f>
        <v>5.32174</v>
      </c>
      <c r="W45" s="41" t="n">
        <f aca="false">IFERROR(V45/N45,0)</f>
        <v>0.293267307308675</v>
      </c>
      <c r="X45" s="26" t="n">
        <f aca="false">$M45*(1-INDEX('Vendor Cost Comparison'!$F$7:$F$11,MATCH($C45,'Vendor Cost Comparison'!$A$7:$A$11,0)))+INDEX('Vendor Cost Comparison'!$F$15:$F$17,MATCH($G45,'Vendor Cost Comparison'!$A$15:$A$17,0))</f>
        <v>14.66522</v>
      </c>
      <c r="Y45" s="26" t="n">
        <f aca="false">N45-X45</f>
        <v>3.48116</v>
      </c>
      <c r="Z45" s="41" t="n">
        <f aca="false">IFERROR(Y45/N45,0)</f>
        <v>0.19183771088228</v>
      </c>
      <c r="AA45" s="44" t="s">
        <v>151</v>
      </c>
      <c r="AB45" s="44" t="s">
        <v>151</v>
      </c>
      <c r="AC45" s="44" t="s">
        <v>151</v>
      </c>
    </row>
    <row r="46" customFormat="false" ht="15" hidden="false" customHeight="false" outlineLevel="0" collapsed="false">
      <c r="A46" s="35" t="s">
        <v>291</v>
      </c>
      <c r="B46" s="35" t="s">
        <v>292</v>
      </c>
      <c r="C46" s="35" t="s">
        <v>71</v>
      </c>
      <c r="D46" s="35" t="s">
        <v>266</v>
      </c>
      <c r="E46" s="35" t="s">
        <v>293</v>
      </c>
      <c r="F46" s="35" t="s">
        <v>142</v>
      </c>
      <c r="G46" s="35" t="s">
        <v>76</v>
      </c>
      <c r="H46" s="35" t="s">
        <v>200</v>
      </c>
      <c r="I46" s="42" t="n">
        <v>46153</v>
      </c>
      <c r="J46" s="43" t="n">
        <v>1.5177</v>
      </c>
      <c r="K46" s="35" t="n">
        <v>30</v>
      </c>
      <c r="L46" s="35" t="n">
        <v>30</v>
      </c>
      <c r="M46" s="26" t="n">
        <f aca="false">J46*K46</f>
        <v>45.531</v>
      </c>
      <c r="N46" s="26" t="n">
        <f aca="false">$M46*(1-INDEX('Vendor Cost Comparison'!$B$7:$B$11,MATCH($C46,'Vendor Cost Comparison'!$A$7:$A$11,0)))+INDEX('Vendor Cost Comparison'!$B$15:$B$17,MATCH($G46,'Vendor Cost Comparison'!$A$15:$A$17,0))</f>
        <v>11.76682</v>
      </c>
      <c r="O46" s="26" t="n">
        <f aca="false">$M46*(1-INDEX('Vendor Cost Comparison'!$C$7:$C$11,MATCH($C46,'Vendor Cost Comparison'!$A$7:$A$11,0)))+INDEX('Vendor Cost Comparison'!$C$15:$C$17,MATCH($G46,'Vendor Cost Comparison'!$A$15:$A$17,0))</f>
        <v>12.77744</v>
      </c>
      <c r="P46" s="26" t="n">
        <f aca="false">N46-O46</f>
        <v>-1.01062</v>
      </c>
      <c r="Q46" s="41" t="n">
        <f aca="false">IFERROR(P46/N46,0)</f>
        <v>-0.0858872660582893</v>
      </c>
      <c r="R46" s="26" t="n">
        <f aca="false">$M46*(1-INDEX('Vendor Cost Comparison'!$D$7:$D$11,MATCH($C46,'Vendor Cost Comparison'!$A$7:$A$11,0)))+INDEX('Vendor Cost Comparison'!$D$15:$D$17,MATCH($G46,'Vendor Cost Comparison'!$A$15:$A$17,0))</f>
        <v>10.6062</v>
      </c>
      <c r="S46" s="26" t="n">
        <f aca="false">N46-R46</f>
        <v>1.16062</v>
      </c>
      <c r="T46" s="41" t="n">
        <f aca="false">IFERROR(S46/N46,0)</f>
        <v>0.0986349752949396</v>
      </c>
      <c r="U46" s="26" t="n">
        <f aca="false">$M46*(1-INDEX('Vendor Cost Comparison'!$E$7:$E$11,MATCH($C46,'Vendor Cost Comparison'!$A$7:$A$11,0)))+INDEX('Vendor Cost Comparison'!$E$15:$E$17,MATCH($G46,'Vendor Cost Comparison'!$A$15:$A$17,0))</f>
        <v>8.18496</v>
      </c>
      <c r="V46" s="26" t="n">
        <f aca="false">N46-U46</f>
        <v>3.58186</v>
      </c>
      <c r="W46" s="41" t="n">
        <f aca="false">IFERROR(V46/N46,0)</f>
        <v>0.304403398709252</v>
      </c>
      <c r="X46" s="26" t="n">
        <f aca="false">$M46*(1-INDEX('Vendor Cost Comparison'!$F$7:$F$11,MATCH($C46,'Vendor Cost Comparison'!$A$7:$A$11,0)))+INDEX('Vendor Cost Comparison'!$F$15:$F$17,MATCH($G46,'Vendor Cost Comparison'!$A$15:$A$17,0))</f>
        <v>9.44558</v>
      </c>
      <c r="Y46" s="26" t="n">
        <f aca="false">N46-X46</f>
        <v>2.32124</v>
      </c>
      <c r="Z46" s="41" t="n">
        <f aca="false">IFERROR(Y46/N46,0)</f>
        <v>0.197269950589879</v>
      </c>
      <c r="AA46" s="44" t="s">
        <v>151</v>
      </c>
      <c r="AB46" s="44" t="s">
        <v>151</v>
      </c>
      <c r="AC46" s="44" t="s">
        <v>151</v>
      </c>
    </row>
    <row r="47" customFormat="false" ht="15" hidden="false" customHeight="false" outlineLevel="0" collapsed="false">
      <c r="A47" s="35" t="s">
        <v>294</v>
      </c>
      <c r="B47" s="35" t="s">
        <v>163</v>
      </c>
      <c r="C47" s="35" t="s">
        <v>72</v>
      </c>
      <c r="D47" s="35" t="s">
        <v>295</v>
      </c>
      <c r="E47" s="35" t="s">
        <v>296</v>
      </c>
      <c r="F47" s="35" t="s">
        <v>149</v>
      </c>
      <c r="G47" s="35" t="s">
        <v>77</v>
      </c>
      <c r="H47" s="35" t="s">
        <v>143</v>
      </c>
      <c r="I47" s="42" t="n">
        <v>45919</v>
      </c>
      <c r="J47" s="43" t="n">
        <v>12.9</v>
      </c>
      <c r="K47" s="35" t="n">
        <v>90</v>
      </c>
      <c r="L47" s="35" t="n">
        <v>90</v>
      </c>
      <c r="M47" s="26" t="n">
        <f aca="false">J47*K47</f>
        <v>1161</v>
      </c>
      <c r="N47" s="26" t="n">
        <f aca="false">$M47*(1-INDEX('Vendor Cost Comparison'!$B$7:$B$11,MATCH($C47,'Vendor Cost Comparison'!$A$7:$A$11,0)))+INDEX('Vendor Cost Comparison'!$B$15:$B$17,MATCH($G47,'Vendor Cost Comparison'!$A$15:$A$17,0))</f>
        <v>929.05</v>
      </c>
      <c r="O47" s="26" t="n">
        <f aca="false">$M47*(1-INDEX('Vendor Cost Comparison'!$C$7:$C$11,MATCH($C47,'Vendor Cost Comparison'!$A$7:$A$11,0)))+INDEX('Vendor Cost Comparison'!$C$15:$C$17,MATCH($G47,'Vendor Cost Comparison'!$A$15:$A$17,0))</f>
        <v>940.71</v>
      </c>
      <c r="P47" s="26" t="n">
        <f aca="false">N47-O47</f>
        <v>-11.66</v>
      </c>
      <c r="Q47" s="41" t="n">
        <f aca="false">IFERROR(P47/N47,0)</f>
        <v>-0.0125504547656208</v>
      </c>
      <c r="R47" s="26" t="n">
        <f aca="false">$M47*(1-INDEX('Vendor Cost Comparison'!$D$7:$D$11,MATCH($C47,'Vendor Cost Comparison'!$A$7:$A$11,0)))+INDEX('Vendor Cost Comparison'!$D$15:$D$17,MATCH($G47,'Vendor Cost Comparison'!$A$15:$A$17,0))</f>
        <v>917.19</v>
      </c>
      <c r="S47" s="26" t="n">
        <f aca="false">N47-R47</f>
        <v>11.86</v>
      </c>
      <c r="T47" s="41" t="n">
        <f aca="false">IFERROR(S47/N47,0)</f>
        <v>0.0127657284322695</v>
      </c>
      <c r="U47" s="26" t="n">
        <f aca="false">$M47*(1-INDEX('Vendor Cost Comparison'!$E$7:$E$11,MATCH($C47,'Vendor Cost Comparison'!$A$7:$A$11,0)))+INDEX('Vendor Cost Comparison'!$E$15:$E$17,MATCH($G47,'Vendor Cost Comparison'!$A$15:$A$17,0))</f>
        <v>882.36</v>
      </c>
      <c r="V47" s="26" t="n">
        <f aca="false">N47-U47</f>
        <v>46.6900000000001</v>
      </c>
      <c r="W47" s="41" t="n">
        <f aca="false">IFERROR(V47/N47,0)</f>
        <v>0.0502556374791454</v>
      </c>
      <c r="X47" s="26" t="n">
        <f aca="false">$M47*(1-INDEX('Vendor Cost Comparison'!$F$7:$F$11,MATCH($C47,'Vendor Cost Comparison'!$A$7:$A$11,0)))+INDEX('Vendor Cost Comparison'!$F$15:$F$17,MATCH($G47,'Vendor Cost Comparison'!$A$15:$A$17,0))</f>
        <v>905.68</v>
      </c>
      <c r="Y47" s="26" t="n">
        <f aca="false">N47-X47</f>
        <v>23.37</v>
      </c>
      <c r="Z47" s="41" t="n">
        <f aca="false">IFERROR(Y47/N47,0)</f>
        <v>0.0251547279479038</v>
      </c>
      <c r="AA47" s="44" t="s">
        <v>144</v>
      </c>
      <c r="AB47" s="44" t="s">
        <v>144</v>
      </c>
      <c r="AC47" s="44" t="s">
        <v>144</v>
      </c>
    </row>
    <row r="48" customFormat="false" ht="15" hidden="false" customHeight="false" outlineLevel="0" collapsed="false">
      <c r="A48" s="35" t="s">
        <v>297</v>
      </c>
      <c r="B48" s="35" t="s">
        <v>289</v>
      </c>
      <c r="C48" s="35" t="s">
        <v>72</v>
      </c>
      <c r="D48" s="35" t="s">
        <v>235</v>
      </c>
      <c r="E48" s="35" t="s">
        <v>298</v>
      </c>
      <c r="F48" s="35" t="s">
        <v>149</v>
      </c>
      <c r="G48" s="35" t="s">
        <v>77</v>
      </c>
      <c r="H48" s="35" t="s">
        <v>143</v>
      </c>
      <c r="I48" s="42" t="n">
        <v>46021</v>
      </c>
      <c r="J48" s="43" t="n">
        <v>13.2992</v>
      </c>
      <c r="K48" s="35" t="n">
        <v>90</v>
      </c>
      <c r="L48" s="35" t="n">
        <v>90</v>
      </c>
      <c r="M48" s="26" t="n">
        <f aca="false">J48*K48</f>
        <v>1196.928</v>
      </c>
      <c r="N48" s="26" t="n">
        <f aca="false">$M48*(1-INDEX('Vendor Cost Comparison'!$B$7:$B$11,MATCH($C48,'Vendor Cost Comparison'!$A$7:$A$11,0)))+INDEX('Vendor Cost Comparison'!$B$15:$B$17,MATCH($G48,'Vendor Cost Comparison'!$A$15:$A$17,0))</f>
        <v>957.7924</v>
      </c>
      <c r="O48" s="26" t="n">
        <f aca="false">$M48*(1-INDEX('Vendor Cost Comparison'!$C$7:$C$11,MATCH($C48,'Vendor Cost Comparison'!$A$7:$A$11,0)))+INDEX('Vendor Cost Comparison'!$C$15:$C$17,MATCH($G48,'Vendor Cost Comparison'!$A$15:$A$17,0))</f>
        <v>969.81168</v>
      </c>
      <c r="P48" s="26" t="n">
        <f aca="false">N48-O48</f>
        <v>-12.01928</v>
      </c>
      <c r="Q48" s="41" t="n">
        <f aca="false">IFERROR(P48/N48,0)</f>
        <v>-0.0125489406681448</v>
      </c>
      <c r="R48" s="26" t="n">
        <f aca="false">$M48*(1-INDEX('Vendor Cost Comparison'!$D$7:$D$11,MATCH($C48,'Vendor Cost Comparison'!$A$7:$A$11,0)))+INDEX('Vendor Cost Comparison'!$D$15:$D$17,MATCH($G48,'Vendor Cost Comparison'!$A$15:$A$17,0))</f>
        <v>945.57312</v>
      </c>
      <c r="S48" s="26" t="n">
        <f aca="false">N48-R48</f>
        <v>12.21928</v>
      </c>
      <c r="T48" s="41" t="n">
        <f aca="false">IFERROR(S48/N48,0)</f>
        <v>0.0127577541855626</v>
      </c>
      <c r="U48" s="26" t="n">
        <f aca="false">$M48*(1-INDEX('Vendor Cost Comparison'!$E$7:$E$11,MATCH($C48,'Vendor Cost Comparison'!$A$7:$A$11,0)))+INDEX('Vendor Cost Comparison'!$E$15:$E$17,MATCH($G48,'Vendor Cost Comparison'!$A$15:$A$17,0))</f>
        <v>909.66528</v>
      </c>
      <c r="V48" s="26" t="n">
        <f aca="false">N48-U48</f>
        <v>48.1271200000001</v>
      </c>
      <c r="W48" s="41" t="n">
        <f aca="false">IFERROR(V48/N48,0)</f>
        <v>0.0502479660519337</v>
      </c>
      <c r="X48" s="26" t="n">
        <f aca="false">$M48*(1-INDEX('Vendor Cost Comparison'!$F$7:$F$11,MATCH($C48,'Vendor Cost Comparison'!$A$7:$A$11,0)))+INDEX('Vendor Cost Comparison'!$F$15:$F$17,MATCH($G48,'Vendor Cost Comparison'!$A$15:$A$17,0))</f>
        <v>933.70384</v>
      </c>
      <c r="Y48" s="26" t="n">
        <f aca="false">N48-X48</f>
        <v>24.08856</v>
      </c>
      <c r="Z48" s="41" t="n">
        <f aca="false">IFERROR(Y48/N48,0)</f>
        <v>0.025150084715644</v>
      </c>
      <c r="AA48" s="44" t="s">
        <v>144</v>
      </c>
      <c r="AB48" s="44" t="s">
        <v>144</v>
      </c>
      <c r="AC48" s="44" t="s">
        <v>144</v>
      </c>
    </row>
    <row r="49" customFormat="false" ht="15" hidden="false" customHeight="false" outlineLevel="0" collapsed="false">
      <c r="A49" s="35" t="s">
        <v>299</v>
      </c>
      <c r="B49" s="35" t="s">
        <v>228</v>
      </c>
      <c r="C49" s="35" t="s">
        <v>70</v>
      </c>
      <c r="D49" s="35" t="s">
        <v>147</v>
      </c>
      <c r="E49" s="35" t="s">
        <v>300</v>
      </c>
      <c r="F49" s="35" t="s">
        <v>149</v>
      </c>
      <c r="G49" s="35" t="s">
        <v>76</v>
      </c>
      <c r="H49" s="35" t="s">
        <v>156</v>
      </c>
      <c r="I49" s="42" t="n">
        <v>45839</v>
      </c>
      <c r="J49" s="43" t="n">
        <v>13.853</v>
      </c>
      <c r="K49" s="35" t="n">
        <v>30</v>
      </c>
      <c r="L49" s="35" t="n">
        <v>30</v>
      </c>
      <c r="M49" s="26" t="n">
        <f aca="false">J49*K49</f>
        <v>415.59</v>
      </c>
      <c r="N49" s="26" t="n">
        <f aca="false">$M49*(1-INDEX('Vendor Cost Comparison'!$B$7:$B$11,MATCH($C49,'Vendor Cost Comparison'!$A$7:$A$11,0)))+INDEX('Vendor Cost Comparison'!$B$15:$B$17,MATCH($G49,'Vendor Cost Comparison'!$A$15:$A$17,0))</f>
        <v>346.6897</v>
      </c>
      <c r="O49" s="26" t="n">
        <f aca="false">$M49*(1-INDEX('Vendor Cost Comparison'!$C$7:$C$11,MATCH($C49,'Vendor Cost Comparison'!$A$7:$A$11,0)))+INDEX('Vendor Cost Comparison'!$C$15:$C$17,MATCH($G49,'Vendor Cost Comparison'!$A$15:$A$17,0))</f>
        <v>350.9456</v>
      </c>
      <c r="P49" s="26" t="n">
        <f aca="false">N49-O49</f>
        <v>-4.25590000000005</v>
      </c>
      <c r="Q49" s="41" t="n">
        <f aca="false">IFERROR(P49/N49,0)</f>
        <v>-0.0122758189816428</v>
      </c>
      <c r="R49" s="26" t="n">
        <f aca="false">$M49*(1-INDEX('Vendor Cost Comparison'!$D$7:$D$11,MATCH($C49,'Vendor Cost Comparison'!$A$7:$A$11,0)))+INDEX('Vendor Cost Comparison'!$D$15:$D$17,MATCH($G49,'Vendor Cost Comparison'!$A$15:$A$17,0))</f>
        <v>342.2838</v>
      </c>
      <c r="S49" s="26" t="n">
        <f aca="false">N49-R49</f>
        <v>4.40589999999997</v>
      </c>
      <c r="T49" s="41" t="n">
        <f aca="false">IFERROR(S49/N49,0)</f>
        <v>0.0127084825421695</v>
      </c>
      <c r="U49" s="26" t="n">
        <f aca="false">$M49*(1-INDEX('Vendor Cost Comparison'!$E$7:$E$11,MATCH($C49,'Vendor Cost Comparison'!$A$7:$A$11,0)))+INDEX('Vendor Cost Comparison'!$E$15:$E$17,MATCH($G49,'Vendor Cost Comparison'!$A$15:$A$17,0))</f>
        <v>333.372</v>
      </c>
      <c r="V49" s="26" t="n">
        <f aca="false">N49-U49</f>
        <v>13.3177</v>
      </c>
      <c r="W49" s="41" t="n">
        <f aca="false">IFERROR(V49/N49,0)</f>
        <v>0.0384138900001933</v>
      </c>
      <c r="X49" s="26" t="n">
        <f aca="false">$M49*(1-INDEX('Vendor Cost Comparison'!$F$7:$F$11,MATCH($C49,'Vendor Cost Comparison'!$A$7:$A$11,0)))+INDEX('Vendor Cost Comparison'!$F$15:$F$17,MATCH($G49,'Vendor Cost Comparison'!$A$15:$A$17,0))</f>
        <v>337.8779</v>
      </c>
      <c r="Y49" s="26" t="n">
        <f aca="false">N49-X49</f>
        <v>8.81179999999995</v>
      </c>
      <c r="Z49" s="41" t="n">
        <f aca="false">IFERROR(Y49/N49,0)</f>
        <v>0.025416965084339</v>
      </c>
      <c r="AA49" s="44" t="s">
        <v>151</v>
      </c>
      <c r="AB49" s="44" t="s">
        <v>151</v>
      </c>
      <c r="AC49" s="44" t="s">
        <v>151</v>
      </c>
    </row>
    <row r="50" customFormat="false" ht="15" hidden="false" customHeight="false" outlineLevel="0" collapsed="false">
      <c r="A50" s="35" t="s">
        <v>301</v>
      </c>
      <c r="B50" s="35" t="s">
        <v>302</v>
      </c>
      <c r="C50" s="35" t="s">
        <v>71</v>
      </c>
      <c r="D50" s="35" t="s">
        <v>174</v>
      </c>
      <c r="E50" s="35" t="s">
        <v>303</v>
      </c>
      <c r="F50" s="35" t="s">
        <v>142</v>
      </c>
      <c r="G50" s="35" t="s">
        <v>76</v>
      </c>
      <c r="H50" s="35" t="s">
        <v>200</v>
      </c>
      <c r="I50" s="42" t="n">
        <v>46044</v>
      </c>
      <c r="J50" s="43" t="n">
        <v>0.753</v>
      </c>
      <c r="K50" s="35" t="n">
        <v>30</v>
      </c>
      <c r="L50" s="35" t="n">
        <v>30</v>
      </c>
      <c r="M50" s="26" t="n">
        <f aca="false">J50*K50</f>
        <v>22.59</v>
      </c>
      <c r="N50" s="26" t="n">
        <f aca="false">$M50*(1-INDEX('Vendor Cost Comparison'!$B$7:$B$11,MATCH($C50,'Vendor Cost Comparison'!$A$7:$A$11,0)))+INDEX('Vendor Cost Comparison'!$B$15:$B$17,MATCH($G50,'Vendor Cost Comparison'!$A$15:$A$17,0))</f>
        <v>6.7198</v>
      </c>
      <c r="O50" s="26" t="n">
        <f aca="false">$M50*(1-INDEX('Vendor Cost Comparison'!$C$7:$C$11,MATCH($C50,'Vendor Cost Comparison'!$A$7:$A$11,0)))+INDEX('Vendor Cost Comparison'!$C$15:$C$17,MATCH($G50,'Vendor Cost Comparison'!$A$15:$A$17,0))</f>
        <v>7.2716</v>
      </c>
      <c r="P50" s="26" t="n">
        <f aca="false">N50-O50</f>
        <v>-0.5518</v>
      </c>
      <c r="Q50" s="41" t="n">
        <f aca="false">IFERROR(P50/N50,0)</f>
        <v>-0.082115539152951</v>
      </c>
      <c r="R50" s="26" t="n">
        <f aca="false">$M50*(1-INDEX('Vendor Cost Comparison'!$D$7:$D$11,MATCH($C50,'Vendor Cost Comparison'!$A$7:$A$11,0)))+INDEX('Vendor Cost Comparison'!$D$15:$D$17,MATCH($G50,'Vendor Cost Comparison'!$A$15:$A$17,0))</f>
        <v>6.018</v>
      </c>
      <c r="S50" s="26" t="n">
        <f aca="false">N50-R50</f>
        <v>0.7018</v>
      </c>
      <c r="T50" s="41" t="n">
        <f aca="false">IFERROR(S50/N50,0)</f>
        <v>0.104437632072383</v>
      </c>
      <c r="U50" s="26" t="n">
        <f aca="false">$M50*(1-INDEX('Vendor Cost Comparison'!$E$7:$E$11,MATCH($C50,'Vendor Cost Comparison'!$A$7:$A$11,0)))+INDEX('Vendor Cost Comparison'!$E$15:$E$17,MATCH($G50,'Vendor Cost Comparison'!$A$15:$A$17,0))</f>
        <v>4.5144</v>
      </c>
      <c r="V50" s="26" t="n">
        <f aca="false">N50-U50</f>
        <v>2.2054</v>
      </c>
      <c r="W50" s="41" t="n">
        <f aca="false">IFERROR(V50/N50,0)</f>
        <v>0.328194291496771</v>
      </c>
      <c r="X50" s="26" t="n">
        <f aca="false">$M50*(1-INDEX('Vendor Cost Comparison'!$F$7:$F$11,MATCH($C50,'Vendor Cost Comparison'!$A$7:$A$11,0)))+INDEX('Vendor Cost Comparison'!$F$15:$F$17,MATCH($G50,'Vendor Cost Comparison'!$A$15:$A$17,0))</f>
        <v>5.3162</v>
      </c>
      <c r="Y50" s="26" t="n">
        <f aca="false">N50-X50</f>
        <v>1.4036</v>
      </c>
      <c r="Z50" s="41" t="n">
        <f aca="false">IFERROR(Y50/N50,0)</f>
        <v>0.208875264144766</v>
      </c>
      <c r="AA50" s="44" t="s">
        <v>151</v>
      </c>
      <c r="AB50" s="44" t="s">
        <v>151</v>
      </c>
      <c r="AC50" s="44" t="s">
        <v>151</v>
      </c>
    </row>
    <row r="52" customFormat="false" ht="15" hidden="false" customHeight="false" outlineLevel="0" collapsed="false">
      <c r="H52" s="45" t="s">
        <v>304</v>
      </c>
      <c r="M52" s="25" t="n">
        <f aca="false">SUM(M3:M50)</f>
        <v>45141.779</v>
      </c>
      <c r="N52" s="25" t="n">
        <f aca="false">SUM(N3:N50)</f>
        <v>36741.72649</v>
      </c>
      <c r="O52" s="25" t="n">
        <f aca="false">SUM(O3:O50)</f>
        <v>37216.6585</v>
      </c>
      <c r="P52" s="25" t="n">
        <f aca="false">SUM(P3:P50)</f>
        <v>-474.932010000001</v>
      </c>
      <c r="Q52" s="46" t="n">
        <f aca="false">IFERROR(SUM(P3:P50)/SUM($N$3:$N$50),0)</f>
        <v>-0.0129262300760217</v>
      </c>
      <c r="R52" s="25" t="n">
        <f aca="false">SUM(R3:R50)</f>
        <v>36270.2097</v>
      </c>
      <c r="S52" s="25" t="n">
        <f aca="false">SUM(S3:S50)</f>
        <v>471.516789999999</v>
      </c>
      <c r="T52" s="46" t="n">
        <f aca="false">IFERROR(SUM(S3:S50)/SUM($N$3:$N$50),0)</f>
        <v>0.0128332779933009</v>
      </c>
      <c r="U52" s="25" t="n">
        <f aca="false">SUM(U3:U50)</f>
        <v>35575.69972</v>
      </c>
      <c r="V52" s="25" t="n">
        <f aca="false">SUM(V3:V50)</f>
        <v>1166.02677</v>
      </c>
      <c r="W52" s="46" t="n">
        <f aca="false">IFERROR(SUM(V3:V50)/SUM($N$3:$N$50),0)</f>
        <v>0.0317357642493299</v>
      </c>
      <c r="X52" s="25" t="n">
        <f aca="false">SUM(X3:X50)</f>
        <v>34808.02599</v>
      </c>
      <c r="Y52" s="25" t="n">
        <f aca="false">SUM(Y3:Y50)</f>
        <v>1933.7005</v>
      </c>
      <c r="Z52" s="46" t="n">
        <f aca="false">IFERROR(SUM(Y3:Y50)/SUM($N$3:$N$50),0)</f>
        <v>0.0526295491456095</v>
      </c>
    </row>
  </sheetData>
  <autoFilter ref="A2:AC50"/>
  <mergeCells count="1">
    <mergeCell ref="A1:AC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14"/>
    <col collapsed="false" customWidth="true" hidden="false" outlineLevel="0" max="2" min="2" style="0" width="18"/>
    <col collapsed="false" customWidth="true" hidden="false" outlineLevel="0" max="3" min="3" style="0" width="20"/>
    <col collapsed="false" customWidth="true" hidden="false" outlineLevel="0" max="4" min="4" style="0" width="18"/>
    <col collapsed="false" customWidth="true" hidden="false" outlineLevel="0" max="5" min="5" style="0" width="16"/>
    <col collapsed="false" customWidth="true" hidden="false" outlineLevel="0" max="6" min="6" style="0" width="12"/>
  </cols>
  <sheetData>
    <row r="1" customFormat="false" ht="21.75" hidden="false" customHeight="true" outlineLevel="0" collapsed="false">
      <c r="A1" s="1" t="s">
        <v>305</v>
      </c>
      <c r="B1" s="1"/>
      <c r="C1" s="1"/>
      <c r="D1" s="1"/>
      <c r="E1" s="1"/>
      <c r="F1" s="1"/>
    </row>
    <row r="2" customFormat="false" ht="30" hidden="false" customHeight="true" outlineLevel="0" collapsed="false">
      <c r="A2" s="9" t="s">
        <v>306</v>
      </c>
      <c r="B2" s="9"/>
      <c r="C2" s="9"/>
      <c r="D2" s="9"/>
      <c r="E2" s="9"/>
      <c r="F2" s="9"/>
    </row>
    <row r="4" customFormat="false" ht="19.5" hidden="false" customHeight="true" outlineLevel="0" collapsed="false">
      <c r="A4" s="6" t="s">
        <v>307</v>
      </c>
      <c r="B4" s="6"/>
      <c r="C4" s="6"/>
      <c r="D4" s="6"/>
      <c r="E4" s="6"/>
      <c r="F4" s="6"/>
    </row>
    <row r="5" customFormat="false" ht="30" hidden="false" customHeight="true" outlineLevel="0" collapsed="false">
      <c r="A5" s="15" t="s">
        <v>308</v>
      </c>
      <c r="B5" s="15" t="s">
        <v>309</v>
      </c>
      <c r="C5" s="15" t="s">
        <v>310</v>
      </c>
      <c r="D5" s="15" t="s">
        <v>311</v>
      </c>
      <c r="E5" s="15" t="s">
        <v>312</v>
      </c>
      <c r="F5" s="15" t="s">
        <v>313</v>
      </c>
    </row>
    <row r="6" customFormat="false" ht="15" hidden="false" customHeight="false" outlineLevel="0" collapsed="false">
      <c r="A6" s="35" t="s">
        <v>314</v>
      </c>
      <c r="B6" s="35" t="n">
        <v>515</v>
      </c>
      <c r="C6" s="26" t="n">
        <v>23613.41</v>
      </c>
      <c r="D6" s="26" t="n">
        <v>28297.69</v>
      </c>
      <c r="E6" s="26" t="n">
        <f aca="false">C6+D6</f>
        <v>51911.1</v>
      </c>
      <c r="F6" s="47" t="n">
        <f aca="false">IFERROR(E6/B6,0)</f>
        <v>100.798252427184</v>
      </c>
    </row>
    <row r="7" customFormat="false" ht="15" hidden="false" customHeight="false" outlineLevel="0" collapsed="false">
      <c r="A7" s="35" t="s">
        <v>315</v>
      </c>
      <c r="B7" s="35" t="n">
        <v>512</v>
      </c>
      <c r="C7" s="26" t="n">
        <v>23076.75</v>
      </c>
      <c r="D7" s="26" t="n">
        <v>27733.43</v>
      </c>
      <c r="E7" s="26" t="n">
        <f aca="false">C7+D7</f>
        <v>50810.18</v>
      </c>
      <c r="F7" s="47" t="n">
        <f aca="false">IFERROR(E7/B7,0)</f>
        <v>99.2386328125</v>
      </c>
    </row>
    <row r="8" customFormat="false" ht="15" hidden="false" customHeight="false" outlineLevel="0" collapsed="false">
      <c r="A8" s="35" t="s">
        <v>316</v>
      </c>
      <c r="B8" s="35" t="n">
        <v>505</v>
      </c>
      <c r="C8" s="26" t="n">
        <v>20789</v>
      </c>
      <c r="D8" s="26" t="n">
        <v>24506.22</v>
      </c>
      <c r="E8" s="26" t="n">
        <f aca="false">C8+D8</f>
        <v>45295.22</v>
      </c>
      <c r="F8" s="47" t="n">
        <f aca="false">IFERROR(E8/B8,0)</f>
        <v>89.6935049504951</v>
      </c>
    </row>
    <row r="9" customFormat="false" ht="15" hidden="false" customHeight="false" outlineLevel="0" collapsed="false">
      <c r="A9" s="35" t="s">
        <v>317</v>
      </c>
      <c r="B9" s="35" t="n">
        <v>505</v>
      </c>
      <c r="C9" s="26" t="n">
        <v>20826.4</v>
      </c>
      <c r="D9" s="26" t="n">
        <v>27661.58</v>
      </c>
      <c r="E9" s="26" t="n">
        <f aca="false">C9+D9</f>
        <v>48487.98</v>
      </c>
      <c r="F9" s="47" t="n">
        <f aca="false">IFERROR(E9/B9,0)</f>
        <v>96.015801980198</v>
      </c>
    </row>
    <row r="10" customFormat="false" ht="15" hidden="false" customHeight="false" outlineLevel="0" collapsed="false">
      <c r="A10" s="35" t="s">
        <v>318</v>
      </c>
      <c r="B10" s="35" t="n">
        <v>525</v>
      </c>
      <c r="C10" s="26" t="n">
        <v>24043.72</v>
      </c>
      <c r="D10" s="26" t="n">
        <v>30886.41</v>
      </c>
      <c r="E10" s="26" t="n">
        <f aca="false">C10+D10</f>
        <v>54930.13</v>
      </c>
      <c r="F10" s="47" t="n">
        <f aca="false">IFERROR(E10/B10,0)</f>
        <v>104.628819047619</v>
      </c>
    </row>
    <row r="11" customFormat="false" ht="15" hidden="false" customHeight="false" outlineLevel="0" collapsed="false">
      <c r="A11" s="35" t="s">
        <v>319</v>
      </c>
      <c r="B11" s="35" t="n">
        <v>516</v>
      </c>
      <c r="C11" s="26" t="n">
        <v>21844.71</v>
      </c>
      <c r="D11" s="26" t="n">
        <v>28196.08</v>
      </c>
      <c r="E11" s="26" t="n">
        <f aca="false">C11+D11</f>
        <v>50040.79</v>
      </c>
      <c r="F11" s="47" t="n">
        <f aca="false">IFERROR(E11/B11,0)</f>
        <v>96.9782751937985</v>
      </c>
    </row>
    <row r="12" customFormat="false" ht="15" hidden="false" customHeight="false" outlineLevel="0" collapsed="false">
      <c r="A12" s="35" t="s">
        <v>320</v>
      </c>
      <c r="B12" s="35" t="n">
        <v>517</v>
      </c>
      <c r="C12" s="26" t="n">
        <v>22016.61</v>
      </c>
      <c r="D12" s="26" t="n">
        <v>34809.05</v>
      </c>
      <c r="E12" s="26" t="n">
        <f aca="false">C12+D12</f>
        <v>56825.66</v>
      </c>
      <c r="F12" s="47" t="n">
        <f aca="false">IFERROR(E12/B12,0)</f>
        <v>109.914235976789</v>
      </c>
    </row>
    <row r="13" customFormat="false" ht="15" hidden="false" customHeight="false" outlineLevel="0" collapsed="false">
      <c r="A13" s="35" t="s">
        <v>321</v>
      </c>
      <c r="B13" s="35" t="n">
        <v>514</v>
      </c>
      <c r="C13" s="26" t="n">
        <v>21712.68</v>
      </c>
      <c r="D13" s="26" t="n">
        <v>34762.64</v>
      </c>
      <c r="E13" s="26" t="n">
        <f aca="false">C13+D13</f>
        <v>56475.32</v>
      </c>
      <c r="F13" s="47" t="n">
        <f aca="false">IFERROR(E13/B13,0)</f>
        <v>109.874163424125</v>
      </c>
    </row>
    <row r="14" customFormat="false" ht="15" hidden="false" customHeight="false" outlineLevel="0" collapsed="false">
      <c r="A14" s="35" t="s">
        <v>322</v>
      </c>
      <c r="B14" s="35" t="n">
        <v>514</v>
      </c>
      <c r="C14" s="26" t="n">
        <v>26266.57</v>
      </c>
      <c r="D14" s="26" t="n">
        <v>28245.21</v>
      </c>
      <c r="E14" s="26" t="n">
        <f aca="false">C14+D14</f>
        <v>54511.78</v>
      </c>
      <c r="F14" s="47" t="n">
        <f aca="false">IFERROR(E14/B14,0)</f>
        <v>106.054046692607</v>
      </c>
    </row>
    <row r="15" customFormat="false" ht="15" hidden="false" customHeight="false" outlineLevel="0" collapsed="false">
      <c r="A15" s="35" t="s">
        <v>323</v>
      </c>
      <c r="B15" s="35" t="n">
        <v>524</v>
      </c>
      <c r="C15" s="26" t="n">
        <v>22973.24</v>
      </c>
      <c r="D15" s="26" t="n">
        <v>32787.99</v>
      </c>
      <c r="E15" s="26" t="n">
        <f aca="false">C15+D15</f>
        <v>55761.23</v>
      </c>
      <c r="F15" s="47" t="n">
        <f aca="false">IFERROR(E15/B15,0)</f>
        <v>106.414561068702</v>
      </c>
    </row>
    <row r="16" customFormat="false" ht="15" hidden="false" customHeight="false" outlineLevel="0" collapsed="false">
      <c r="A16" s="35" t="s">
        <v>324</v>
      </c>
      <c r="B16" s="35" t="n">
        <v>508</v>
      </c>
      <c r="C16" s="26" t="n">
        <v>25223.72</v>
      </c>
      <c r="D16" s="26" t="n">
        <v>35634.53</v>
      </c>
      <c r="E16" s="26" t="n">
        <f aca="false">C16+D16</f>
        <v>60858.25</v>
      </c>
      <c r="F16" s="47" t="n">
        <f aca="false">IFERROR(E16/B16,0)</f>
        <v>119.799704724409</v>
      </c>
    </row>
    <row r="17" customFormat="false" ht="15" hidden="false" customHeight="false" outlineLevel="0" collapsed="false">
      <c r="A17" s="35" t="s">
        <v>325</v>
      </c>
      <c r="B17" s="35" t="n">
        <v>503</v>
      </c>
      <c r="C17" s="26" t="n">
        <v>26118.11</v>
      </c>
      <c r="D17" s="26" t="n">
        <v>30445.14</v>
      </c>
      <c r="E17" s="26" t="n">
        <f aca="false">C17+D17</f>
        <v>56563.25</v>
      </c>
      <c r="F17" s="47" t="n">
        <f aca="false">IFERROR(E17/B17,0)</f>
        <v>112.451789264414</v>
      </c>
    </row>
    <row r="18" customFormat="false" ht="15" hidden="false" customHeight="false" outlineLevel="0" collapsed="false">
      <c r="A18" s="48" t="s">
        <v>326</v>
      </c>
      <c r="B18" s="48" t="n">
        <v>516</v>
      </c>
      <c r="C18" s="49" t="n">
        <v>23419.79</v>
      </c>
      <c r="D18" s="49" t="n">
        <v>29547.76</v>
      </c>
      <c r="E18" s="49" t="n">
        <f aca="false">C18+D18</f>
        <v>52967.55</v>
      </c>
      <c r="F18" s="50" t="n">
        <f aca="false">IFERROR(E18/B18,0)</f>
        <v>102.650290697674</v>
      </c>
    </row>
    <row r="19" customFormat="false" ht="15" hidden="false" customHeight="false" outlineLevel="0" collapsed="false">
      <c r="A19" s="48" t="s">
        <v>327</v>
      </c>
      <c r="B19" s="48" t="n">
        <v>508</v>
      </c>
      <c r="C19" s="49" t="n">
        <v>24067.07</v>
      </c>
      <c r="D19" s="49" t="n">
        <v>31954.38</v>
      </c>
      <c r="E19" s="49" t="n">
        <f aca="false">C19+D19</f>
        <v>56021.45</v>
      </c>
      <c r="F19" s="50" t="n">
        <f aca="false">IFERROR(E19/B19,0)</f>
        <v>110.27844488189</v>
      </c>
    </row>
    <row r="20" customFormat="false" ht="15" hidden="false" customHeight="false" outlineLevel="0" collapsed="false">
      <c r="A20" s="48" t="s">
        <v>328</v>
      </c>
      <c r="B20" s="48" t="n">
        <v>523</v>
      </c>
      <c r="C20" s="49" t="n">
        <v>24384.34</v>
      </c>
      <c r="D20" s="49" t="n">
        <v>35736.33</v>
      </c>
      <c r="E20" s="49" t="n">
        <f aca="false">C20+D20</f>
        <v>60120.67</v>
      </c>
      <c r="F20" s="50" t="n">
        <f aca="false">IFERROR(E20/B20,0)</f>
        <v>114.953479923518</v>
      </c>
    </row>
    <row r="21" customFormat="false" ht="15" hidden="false" customHeight="false" outlineLevel="0" collapsed="false">
      <c r="A21" s="48" t="s">
        <v>329</v>
      </c>
      <c r="B21" s="48" t="n">
        <v>517</v>
      </c>
      <c r="C21" s="49" t="n">
        <v>25814.2</v>
      </c>
      <c r="D21" s="49" t="n">
        <v>39240.25</v>
      </c>
      <c r="E21" s="49" t="n">
        <f aca="false">C21+D21</f>
        <v>65054.45</v>
      </c>
      <c r="F21" s="50" t="n">
        <f aca="false">IFERROR(E21/B21,0)</f>
        <v>125.830657640232</v>
      </c>
    </row>
    <row r="22" customFormat="false" ht="15" hidden="false" customHeight="false" outlineLevel="0" collapsed="false">
      <c r="A22" s="48" t="s">
        <v>330</v>
      </c>
      <c r="B22" s="48" t="n">
        <v>515</v>
      </c>
      <c r="C22" s="49" t="n">
        <v>26846.03</v>
      </c>
      <c r="D22" s="49" t="n">
        <v>31275.39</v>
      </c>
      <c r="E22" s="49" t="n">
        <f aca="false">C22+D22</f>
        <v>58121.42</v>
      </c>
      <c r="F22" s="50" t="n">
        <f aca="false">IFERROR(E22/B22,0)</f>
        <v>112.857126213592</v>
      </c>
    </row>
    <row r="23" customFormat="false" ht="15" hidden="false" customHeight="false" outlineLevel="0" collapsed="false">
      <c r="A23" s="48" t="s">
        <v>331</v>
      </c>
      <c r="B23" s="48" t="n">
        <v>525</v>
      </c>
      <c r="C23" s="49" t="n">
        <v>26536.09</v>
      </c>
      <c r="D23" s="49" t="n">
        <v>38776.81</v>
      </c>
      <c r="E23" s="49" t="n">
        <f aca="false">C23+D23</f>
        <v>65312.9</v>
      </c>
      <c r="F23" s="50" t="n">
        <f aca="false">IFERROR(E23/B23,0)</f>
        <v>124.405523809524</v>
      </c>
    </row>
    <row r="24" customFormat="false" ht="15" hidden="false" customHeight="false" outlineLevel="0" collapsed="false">
      <c r="A24" s="48" t="s">
        <v>332</v>
      </c>
      <c r="B24" s="48" t="n">
        <v>500</v>
      </c>
      <c r="C24" s="49" t="n">
        <v>25985.28</v>
      </c>
      <c r="D24" s="49" t="n">
        <v>36456.35</v>
      </c>
      <c r="E24" s="49" t="n">
        <f aca="false">C24+D24</f>
        <v>62441.63</v>
      </c>
      <c r="F24" s="50" t="n">
        <f aca="false">IFERROR(E24/B24,0)</f>
        <v>124.88326</v>
      </c>
    </row>
    <row r="25" customFormat="false" ht="15" hidden="false" customHeight="false" outlineLevel="0" collapsed="false">
      <c r="A25" s="48" t="s">
        <v>333</v>
      </c>
      <c r="B25" s="48" t="n">
        <v>520</v>
      </c>
      <c r="C25" s="49" t="n">
        <v>25078.19</v>
      </c>
      <c r="D25" s="49" t="n">
        <v>39464.26</v>
      </c>
      <c r="E25" s="49" t="n">
        <f aca="false">C25+D25</f>
        <v>64542.45</v>
      </c>
      <c r="F25" s="50" t="n">
        <f aca="false">IFERROR(E25/B25,0)</f>
        <v>124.120096153846</v>
      </c>
    </row>
    <row r="26" customFormat="false" ht="15" hidden="false" customHeight="false" outlineLevel="0" collapsed="false">
      <c r="A26" s="48" t="s">
        <v>334</v>
      </c>
      <c r="B26" s="48" t="n">
        <v>504</v>
      </c>
      <c r="C26" s="49" t="n">
        <v>23110.86</v>
      </c>
      <c r="D26" s="49" t="n">
        <v>33469.69</v>
      </c>
      <c r="E26" s="49" t="n">
        <f aca="false">C26+D26</f>
        <v>56580.55</v>
      </c>
      <c r="F26" s="50" t="n">
        <f aca="false">IFERROR(E26/B26,0)</f>
        <v>112.262996031746</v>
      </c>
    </row>
    <row r="27" customFormat="false" ht="15" hidden="false" customHeight="false" outlineLevel="0" collapsed="false">
      <c r="A27" s="48" t="s">
        <v>335</v>
      </c>
      <c r="B27" s="48" t="n">
        <v>503</v>
      </c>
      <c r="C27" s="49" t="n">
        <v>26740.31</v>
      </c>
      <c r="D27" s="49" t="n">
        <v>40380.21</v>
      </c>
      <c r="E27" s="49" t="n">
        <f aca="false">C27+D27</f>
        <v>67120.52</v>
      </c>
      <c r="F27" s="50" t="n">
        <f aca="false">IFERROR(E27/B27,0)</f>
        <v>133.440397614314</v>
      </c>
    </row>
    <row r="28" customFormat="false" ht="15" hidden="false" customHeight="false" outlineLevel="0" collapsed="false">
      <c r="A28" s="48" t="s">
        <v>336</v>
      </c>
      <c r="B28" s="48" t="n">
        <v>506</v>
      </c>
      <c r="C28" s="49" t="n">
        <v>26018.65</v>
      </c>
      <c r="D28" s="49" t="n">
        <v>36151.37</v>
      </c>
      <c r="E28" s="49" t="n">
        <f aca="false">C28+D28</f>
        <v>62170.02</v>
      </c>
      <c r="F28" s="50" t="n">
        <f aca="false">IFERROR(E28/B28,0)</f>
        <v>122.865652173913</v>
      </c>
    </row>
    <row r="29" customFormat="false" ht="15" hidden="false" customHeight="false" outlineLevel="0" collapsed="false">
      <c r="A29" s="48" t="s">
        <v>337</v>
      </c>
      <c r="B29" s="48" t="n">
        <v>507</v>
      </c>
      <c r="C29" s="49" t="n">
        <v>25732.58</v>
      </c>
      <c r="D29" s="49" t="n">
        <v>39078.28</v>
      </c>
      <c r="E29" s="49" t="n">
        <f aca="false">C29+D29</f>
        <v>64810.86</v>
      </c>
      <c r="F29" s="50" t="n">
        <f aca="false">IFERROR(E29/B29,0)</f>
        <v>127.832071005917</v>
      </c>
    </row>
  </sheetData>
  <mergeCells count="3">
    <mergeCell ref="A1:F1"/>
    <mergeCell ref="A2:F2"/>
    <mergeCell ref="A4:F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26"/>
    <col collapsed="false" customWidth="true" hidden="false" outlineLevel="0" max="2" min="2" style="0" width="14"/>
    <col collapsed="false" customWidth="true" hidden="false" outlineLevel="0" max="8" min="3" style="0" width="15"/>
  </cols>
  <sheetData>
    <row r="1" customFormat="false" ht="21.75" hidden="false" customHeight="true" outlineLevel="0" collapsed="false">
      <c r="A1" s="1" t="s">
        <v>338</v>
      </c>
      <c r="B1" s="1"/>
      <c r="C1" s="1"/>
      <c r="D1" s="1"/>
      <c r="E1" s="1"/>
      <c r="F1" s="1"/>
      <c r="G1" s="1"/>
      <c r="H1" s="1"/>
    </row>
    <row r="2" customFormat="false" ht="30" hidden="false" customHeight="true" outlineLevel="0" collapsed="false">
      <c r="A2" s="9" t="s">
        <v>339</v>
      </c>
      <c r="B2" s="9"/>
      <c r="C2" s="9"/>
      <c r="D2" s="9"/>
      <c r="E2" s="9"/>
      <c r="F2" s="9"/>
      <c r="G2" s="9"/>
      <c r="H2" s="9"/>
    </row>
    <row r="4" customFormat="false" ht="19.5" hidden="false" customHeight="true" outlineLevel="0" collapsed="false">
      <c r="A4" s="6" t="s">
        <v>340</v>
      </c>
      <c r="B4" s="6"/>
      <c r="C4" s="6"/>
      <c r="D4" s="6"/>
      <c r="E4" s="6"/>
      <c r="F4" s="6"/>
      <c r="G4" s="6"/>
      <c r="H4" s="6"/>
    </row>
    <row r="5" customFormat="false" ht="31.5" hidden="false" customHeight="true" outlineLevel="0" collapsed="false">
      <c r="A5" s="15" t="s">
        <v>341</v>
      </c>
      <c r="B5" s="15"/>
      <c r="C5" s="17" t="s">
        <v>342</v>
      </c>
      <c r="D5" s="18" t="s">
        <v>343</v>
      </c>
      <c r="E5" s="19" t="s">
        <v>344</v>
      </c>
    </row>
    <row r="6" customFormat="false" ht="15" hidden="false" customHeight="false" outlineLevel="0" collapsed="false">
      <c r="A6" s="35" t="s">
        <v>156</v>
      </c>
      <c r="B6" s="35"/>
      <c r="C6" s="44" t="s">
        <v>151</v>
      </c>
      <c r="D6" s="44" t="s">
        <v>151</v>
      </c>
      <c r="E6" s="44" t="s">
        <v>151</v>
      </c>
    </row>
    <row r="7" customFormat="false" ht="15" hidden="false" customHeight="false" outlineLevel="0" collapsed="false">
      <c r="A7" s="35" t="s">
        <v>171</v>
      </c>
      <c r="B7" s="35"/>
      <c r="C7" s="44" t="s">
        <v>151</v>
      </c>
      <c r="D7" s="44" t="s">
        <v>151</v>
      </c>
      <c r="E7" s="44" t="s">
        <v>151</v>
      </c>
    </row>
    <row r="8" customFormat="false" ht="15" hidden="false" customHeight="false" outlineLevel="0" collapsed="false">
      <c r="A8" s="35" t="s">
        <v>161</v>
      </c>
      <c r="B8" s="35"/>
      <c r="C8" s="44" t="s">
        <v>151</v>
      </c>
      <c r="D8" s="44" t="s">
        <v>151</v>
      </c>
      <c r="E8" s="44" t="s">
        <v>151</v>
      </c>
    </row>
    <row r="9" customFormat="false" ht="15" hidden="false" customHeight="false" outlineLevel="0" collapsed="false">
      <c r="A9" s="35" t="s">
        <v>150</v>
      </c>
      <c r="B9" s="35"/>
      <c r="C9" s="44" t="s">
        <v>151</v>
      </c>
      <c r="D9" s="44" t="s">
        <v>151</v>
      </c>
      <c r="E9" s="44" t="s">
        <v>152</v>
      </c>
    </row>
    <row r="10" customFormat="false" ht="15" hidden="false" customHeight="false" outlineLevel="0" collapsed="false">
      <c r="A10" s="35" t="s">
        <v>166</v>
      </c>
      <c r="B10" s="35"/>
      <c r="C10" s="44" t="s">
        <v>151</v>
      </c>
      <c r="D10" s="44" t="s">
        <v>152</v>
      </c>
      <c r="E10" s="44" t="s">
        <v>151</v>
      </c>
    </row>
    <row r="11" customFormat="false" ht="15" hidden="false" customHeight="false" outlineLevel="0" collapsed="false">
      <c r="A11" s="35" t="s">
        <v>176</v>
      </c>
      <c r="B11" s="35"/>
      <c r="C11" s="44" t="s">
        <v>151</v>
      </c>
      <c r="D11" s="44" t="s">
        <v>151</v>
      </c>
      <c r="E11" s="44" t="s">
        <v>151</v>
      </c>
    </row>
    <row r="12" customFormat="false" ht="15" hidden="false" customHeight="false" outlineLevel="0" collapsed="false">
      <c r="A12" s="35" t="s">
        <v>200</v>
      </c>
      <c r="B12" s="35"/>
      <c r="C12" s="44" t="s">
        <v>151</v>
      </c>
      <c r="D12" s="44" t="s">
        <v>151</v>
      </c>
      <c r="E12" s="44" t="s">
        <v>151</v>
      </c>
    </row>
    <row r="13" customFormat="false" ht="15" hidden="false" customHeight="false" outlineLevel="0" collapsed="false">
      <c r="A13" s="35" t="s">
        <v>255</v>
      </c>
      <c r="B13" s="35"/>
      <c r="C13" s="44" t="s">
        <v>151</v>
      </c>
      <c r="D13" s="44" t="s">
        <v>151</v>
      </c>
      <c r="E13" s="44" t="s">
        <v>151</v>
      </c>
    </row>
    <row r="15" customFormat="false" ht="19.5" hidden="false" customHeight="true" outlineLevel="0" collapsed="false">
      <c r="A15" s="6" t="s">
        <v>345</v>
      </c>
      <c r="B15" s="6"/>
      <c r="C15" s="6"/>
      <c r="D15" s="6"/>
      <c r="E15" s="6"/>
    </row>
    <row r="16" customFormat="false" ht="25.5" hidden="false" customHeight="true" outlineLevel="0" collapsed="false">
      <c r="A16" s="15" t="s">
        <v>89</v>
      </c>
      <c r="B16" s="15" t="s">
        <v>346</v>
      </c>
      <c r="C16" s="15" t="s">
        <v>347</v>
      </c>
      <c r="D16" s="15" t="s">
        <v>348</v>
      </c>
    </row>
    <row r="17" customFormat="false" ht="15" hidden="false" customHeight="false" outlineLevel="0" collapsed="false">
      <c r="A17" s="35" t="s">
        <v>70</v>
      </c>
      <c r="B17" s="35" t="n">
        <v>8</v>
      </c>
      <c r="C17" s="35" t="n">
        <f aca="false">COUNTIF('Claims Detail'!$C:$C,$A17)</f>
        <v>10</v>
      </c>
      <c r="D17" s="26" t="n">
        <f aca="false">SUMIF('Claims Detail'!$C:$C,$A17,'Claims Detail'!$N:$N)</f>
        <v>3419.65423</v>
      </c>
    </row>
    <row r="18" customFormat="false" ht="15" hidden="false" customHeight="false" outlineLevel="0" collapsed="false">
      <c r="A18" s="35" t="s">
        <v>71</v>
      </c>
      <c r="B18" s="35" t="n">
        <v>8</v>
      </c>
      <c r="C18" s="35" t="n">
        <f aca="false">COUNTIF('Claims Detail'!$C:$C,$A18)</f>
        <v>20</v>
      </c>
      <c r="D18" s="26" t="n">
        <f aca="false">SUMIF('Claims Detail'!$C:$C,$A18,'Claims Detail'!$N:$N)</f>
        <v>235.178</v>
      </c>
    </row>
    <row r="19" customFormat="false" ht="15" hidden="false" customHeight="false" outlineLevel="0" collapsed="false">
      <c r="A19" s="22" t="s">
        <v>96</v>
      </c>
      <c r="B19" s="22" t="n">
        <f aca="false">SUM(B17:B18)</f>
        <v>16</v>
      </c>
      <c r="C19" s="22" t="n">
        <f aca="false">SUM(C17:C18)</f>
        <v>30</v>
      </c>
      <c r="D19" s="25" t="n">
        <f aca="false">SUM(D17:D18)</f>
        <v>3654.83223</v>
      </c>
    </row>
    <row r="21" customFormat="false" ht="19.5" hidden="false" customHeight="true" outlineLevel="0" collapsed="false">
      <c r="A21" s="6" t="s">
        <v>349</v>
      </c>
      <c r="B21" s="6"/>
      <c r="C21" s="6"/>
      <c r="D21" s="6"/>
    </row>
    <row r="22" customFormat="false" ht="30" hidden="false" customHeight="true" outlineLevel="0" collapsed="false">
      <c r="A22" s="15" t="s">
        <v>37</v>
      </c>
      <c r="B22" s="17" t="s">
        <v>342</v>
      </c>
      <c r="C22" s="18" t="s">
        <v>343</v>
      </c>
      <c r="D22" s="19" t="s">
        <v>344</v>
      </c>
    </row>
    <row r="23" customFormat="false" ht="15" hidden="false" customHeight="false" outlineLevel="0" collapsed="false">
      <c r="A23" s="22" t="s">
        <v>47</v>
      </c>
      <c r="B23" s="51" t="n">
        <f aca="false">COUNTIFS($C$6:$C$13,"No")</f>
        <v>0</v>
      </c>
      <c r="C23" s="51" t="n">
        <f aca="false">COUNTIFS($D$6:$D$13,"No")</f>
        <v>1</v>
      </c>
      <c r="D23" s="51" t="n">
        <f aca="false">COUNTIFS($E$6:$E$13,"No")</f>
        <v>1</v>
      </c>
    </row>
    <row r="25" customFormat="false" ht="19.5" hidden="false" customHeight="true" outlineLevel="0" collapsed="false">
      <c r="A25" s="6" t="s">
        <v>48</v>
      </c>
      <c r="B25" s="6"/>
      <c r="C25" s="6"/>
      <c r="D25" s="6"/>
    </row>
    <row r="26" customFormat="false" ht="30" hidden="false" customHeight="true" outlineLevel="0" collapsed="false">
      <c r="A26" s="15" t="s">
        <v>89</v>
      </c>
      <c r="B26" s="17" t="s">
        <v>342</v>
      </c>
      <c r="C26" s="18" t="s">
        <v>343</v>
      </c>
      <c r="D26" s="19" t="s">
        <v>344</v>
      </c>
    </row>
    <row r="27" customFormat="false" ht="15" hidden="false" customHeight="false" outlineLevel="0" collapsed="false">
      <c r="A27" s="35" t="s">
        <v>70</v>
      </c>
      <c r="B27" s="52" t="n">
        <f aca="false">COUNTIFS('Claims Detail'!$C:$C,$A27,'Claims Detail'!$AA:$AA,"No")</f>
        <v>0</v>
      </c>
      <c r="C27" s="52" t="n">
        <f aca="false">COUNTIFS('Claims Detail'!$C:$C,$A27,'Claims Detail'!$AB:$AB,"No")</f>
        <v>0</v>
      </c>
      <c r="D27" s="52" t="n">
        <f aca="false">COUNTIFS('Claims Detail'!$C:$C,$A27,'Claims Detail'!$AC:$AC,"No")</f>
        <v>1</v>
      </c>
    </row>
    <row r="28" customFormat="false" ht="15" hidden="false" customHeight="false" outlineLevel="0" collapsed="false">
      <c r="A28" s="35" t="s">
        <v>71</v>
      </c>
      <c r="B28" s="52" t="n">
        <f aca="false">COUNTIFS('Claims Detail'!$C:$C,$A28,'Claims Detail'!$AA:$AA,"No")</f>
        <v>0</v>
      </c>
      <c r="C28" s="52" t="n">
        <f aca="false">COUNTIFS('Claims Detail'!$C:$C,$A28,'Claims Detail'!$AB:$AB,"No")</f>
        <v>3</v>
      </c>
      <c r="D28" s="52" t="n">
        <f aca="false">COUNTIFS('Claims Detail'!$C:$C,$A28,'Claims Detail'!$AC:$AC,"No")</f>
        <v>2</v>
      </c>
    </row>
    <row r="29" customFormat="false" ht="15" hidden="false" customHeight="false" outlineLevel="0" collapsed="false">
      <c r="A29" s="22" t="s">
        <v>96</v>
      </c>
      <c r="B29" s="53" t="n">
        <f aca="false">SUM(B27:B28)</f>
        <v>0</v>
      </c>
      <c r="C29" s="53" t="n">
        <f aca="false">SUM(C27:C28)</f>
        <v>3</v>
      </c>
      <c r="D29" s="53" t="n">
        <f aca="false">SUM(D27:D28)</f>
        <v>3</v>
      </c>
    </row>
    <row r="31" customFormat="false" ht="19.5" hidden="false" customHeight="true" outlineLevel="0" collapsed="false">
      <c r="A31" s="6" t="s">
        <v>49</v>
      </c>
      <c r="B31" s="6"/>
      <c r="C31" s="6"/>
      <c r="D31" s="6"/>
    </row>
    <row r="32" customFormat="false" ht="30" hidden="false" customHeight="true" outlineLevel="0" collapsed="false">
      <c r="A32" s="15" t="s">
        <v>89</v>
      </c>
      <c r="B32" s="17" t="s">
        <v>342</v>
      </c>
      <c r="C32" s="18" t="s">
        <v>343</v>
      </c>
      <c r="D32" s="19" t="s">
        <v>344</v>
      </c>
    </row>
    <row r="33" customFormat="false" ht="15" hidden="false" customHeight="false" outlineLevel="0" collapsed="false">
      <c r="A33" s="35" t="s">
        <v>70</v>
      </c>
      <c r="B33" s="26" t="n">
        <f aca="false">SUMIFS('Claims Detail'!$N:$N,'Claims Detail'!$C:$C,$A33,'Claims Detail'!$AA:$AA,"No")</f>
        <v>0</v>
      </c>
      <c r="C33" s="26" t="n">
        <f aca="false">SUMIFS('Claims Detail'!$N:$N,'Claims Detail'!$C:$C,$A33,'Claims Detail'!$AB:$AB,"No")</f>
        <v>0</v>
      </c>
      <c r="D33" s="26" t="n">
        <f aca="false">SUMIFS('Claims Detail'!$N:$N,'Claims Detail'!$C:$C,$A33,'Claims Detail'!$AC:$AC,"No")</f>
        <v>346.59757</v>
      </c>
    </row>
    <row r="34" customFormat="false" ht="15" hidden="false" customHeight="false" outlineLevel="0" collapsed="false">
      <c r="A34" s="35" t="s">
        <v>71</v>
      </c>
      <c r="B34" s="26" t="n">
        <f aca="false">SUMIFS('Claims Detail'!$N:$N,'Claims Detail'!$C:$C,$A34,'Claims Detail'!$AA:$AA,"No")</f>
        <v>0</v>
      </c>
      <c r="C34" s="26" t="n">
        <f aca="false">SUMIFS('Claims Detail'!$N:$N,'Claims Detail'!$C:$C,$A34,'Claims Detail'!$AB:$AB,"No")</f>
        <v>38.51862</v>
      </c>
      <c r="D34" s="26" t="n">
        <f aca="false">SUMIFS('Claims Detail'!$N:$N,'Claims Detail'!$C:$C,$A34,'Claims Detail'!$AC:$AC,"No")</f>
        <v>21.93842</v>
      </c>
    </row>
    <row r="35" customFormat="false" ht="15" hidden="false" customHeight="false" outlineLevel="0" collapsed="false">
      <c r="A35" s="22" t="s">
        <v>96</v>
      </c>
      <c r="B35" s="25" t="n">
        <f aca="false">SUM(B33:B34)</f>
        <v>0</v>
      </c>
      <c r="C35" s="25" t="n">
        <f aca="false">SUM(C33:C34)</f>
        <v>38.51862</v>
      </c>
      <c r="D35" s="25" t="n">
        <f aca="false">SUM(D33:D34)</f>
        <v>368.53599</v>
      </c>
    </row>
    <row r="37" customFormat="false" ht="19.5" hidden="false" customHeight="true" outlineLevel="0" collapsed="false">
      <c r="A37" s="6" t="s">
        <v>350</v>
      </c>
      <c r="B37" s="6"/>
      <c r="C37" s="6"/>
      <c r="D37" s="6"/>
    </row>
    <row r="38" customFormat="false" ht="30" hidden="false" customHeight="true" outlineLevel="0" collapsed="false">
      <c r="A38" s="15" t="s">
        <v>89</v>
      </c>
      <c r="B38" s="17" t="s">
        <v>342</v>
      </c>
      <c r="C38" s="18" t="s">
        <v>343</v>
      </c>
      <c r="D38" s="19" t="s">
        <v>344</v>
      </c>
    </row>
    <row r="39" customFormat="false" ht="15" hidden="false" customHeight="false" outlineLevel="0" collapsed="false">
      <c r="A39" s="35" t="s">
        <v>70</v>
      </c>
      <c r="B39" s="41" t="n">
        <f aca="false">IFERROR(B33/$D17,0)</f>
        <v>0</v>
      </c>
      <c r="C39" s="41" t="n">
        <f aca="false">IFERROR(C33/$D17,0)</f>
        <v>0</v>
      </c>
      <c r="D39" s="41" t="n">
        <f aca="false">IFERROR(D33/$D17,0)</f>
        <v>0.101354565897149</v>
      </c>
    </row>
    <row r="40" customFormat="false" ht="15" hidden="false" customHeight="false" outlineLevel="0" collapsed="false">
      <c r="A40" s="35" t="s">
        <v>71</v>
      </c>
      <c r="B40" s="41" t="n">
        <f aca="false">IFERROR(B34/$D18,0)</f>
        <v>0</v>
      </c>
      <c r="C40" s="41" t="n">
        <f aca="false">IFERROR(C34/$D18,0)</f>
        <v>0.163784962879181</v>
      </c>
      <c r="D40" s="41" t="n">
        <f aca="false">IFERROR(D34/$D18,0)</f>
        <v>0.0932843208123209</v>
      </c>
    </row>
    <row r="41" customFormat="false" ht="15" hidden="false" customHeight="false" outlineLevel="0" collapsed="false">
      <c r="A41" s="22" t="s">
        <v>96</v>
      </c>
      <c r="B41" s="46" t="n">
        <f aca="false">IFERROR(B35/$D$19,0)</f>
        <v>0</v>
      </c>
      <c r="C41" s="46" t="n">
        <f aca="false">IFERROR(C35/$D$19,0)</f>
        <v>0.0105390938833874</v>
      </c>
      <c r="D41" s="46" t="n">
        <f aca="false">IFERROR(D35/$D$19,0)</f>
        <v>0.100835268709448</v>
      </c>
    </row>
  </sheetData>
  <mergeCells count="8">
    <mergeCell ref="A1:H1"/>
    <mergeCell ref="A2:H2"/>
    <mergeCell ref="A4:H4"/>
    <mergeCell ref="A15:E15"/>
    <mergeCell ref="A21:D21"/>
    <mergeCell ref="A25:D25"/>
    <mergeCell ref="A31:D31"/>
    <mergeCell ref="A37:D3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LibreOffice/26.8.0.3$MacOSX_X86_64 LibreOffice_project/bce0998afefdbc355585ca324285661a2170ba77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2026-09-14T16:39:01Z</dcterms:created>
  <dc:creator>openpyxl</dc:creator>
  <dc:description/>
  <dc:language>en-GB</dc:language>
  <cp:lastModifiedBy/>
  <dcterms:modified xsi:type="dcterms:W3CDTF">2026-09-14T16:39:01Z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